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D:\Clientes_Jobs\IBEF\_job\_Artigos publicados\0130-controladoria\"/>
    </mc:Choice>
  </mc:AlternateContent>
  <xr:revisionPtr revIDLastSave="0" documentId="8_{691023E1-1332-4E2D-994C-587AE06317DC}" xr6:coauthVersionLast="38" xr6:coauthVersionMax="38" xr10:uidLastSave="{00000000-0000-0000-0000-000000000000}"/>
  <bookViews>
    <workbookView xWindow="0" yWindow="0" windowWidth="26175" windowHeight="10950" xr2:uid="{00000000-000D-0000-FFFF-FFFF00000000}"/>
  </bookViews>
  <sheets>
    <sheet name="Apresentacao" sheetId="7" r:id="rId1"/>
    <sheet name="DadosIFRS16_IBEF" sheetId="4" r:id="rId2"/>
    <sheet name="Razonete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4" l="1"/>
  <c r="J5" i="4" l="1"/>
  <c r="J6" i="4"/>
  <c r="J7" i="4"/>
  <c r="J8" i="4" l="1"/>
  <c r="I41" i="5"/>
  <c r="B41" i="5"/>
  <c r="G31" i="5"/>
  <c r="C13" i="5"/>
  <c r="H13" i="5"/>
  <c r="G57" i="5"/>
  <c r="G58" i="5" s="1"/>
  <c r="G61" i="5" s="1"/>
  <c r="H49" i="5"/>
  <c r="I50" i="5" s="1"/>
  <c r="F61" i="5" s="1"/>
  <c r="F64" i="5" s="1"/>
  <c r="B13" i="5"/>
  <c r="H29" i="5"/>
  <c r="G39" i="5"/>
  <c r="G29" i="5"/>
  <c r="C11" i="5"/>
  <c r="H11" i="5"/>
  <c r="G55" i="5"/>
  <c r="G56" i="5" s="1"/>
  <c r="B68" i="5" s="1"/>
  <c r="H47" i="5"/>
  <c r="I48" i="5" s="1"/>
  <c r="A68" i="5" s="1"/>
  <c r="A71" i="5" s="1"/>
  <c r="B11" i="5"/>
  <c r="G37" i="5"/>
  <c r="H27" i="5"/>
  <c r="G27" i="5"/>
  <c r="C9" i="5"/>
  <c r="G53" i="5"/>
  <c r="B61" i="5" s="1"/>
  <c r="H45" i="5"/>
  <c r="I46" i="5" s="1"/>
  <c r="A61" i="5" s="1"/>
  <c r="A64" i="5" s="1"/>
  <c r="H9" i="5"/>
  <c r="B9" i="5"/>
  <c r="H35" i="5"/>
  <c r="I36" i="5" s="1"/>
  <c r="I38" i="5" s="1"/>
  <c r="H25" i="5"/>
  <c r="I26" i="5" s="1"/>
  <c r="G74" i="5"/>
  <c r="H75" i="5" s="1"/>
  <c r="H76" i="5" s="1"/>
  <c r="H77" i="5" s="1"/>
  <c r="H78" i="5" s="1"/>
  <c r="G7" i="5"/>
  <c r="G8" i="5" s="1"/>
  <c r="B7" i="5"/>
  <c r="B8" i="5" s="1"/>
  <c r="B10" i="5" s="1"/>
  <c r="F30" i="4"/>
  <c r="E30" i="4"/>
  <c r="D30" i="4"/>
  <c r="D20" i="4"/>
  <c r="K7" i="4"/>
  <c r="K6" i="4"/>
  <c r="K5" i="4"/>
  <c r="D6" i="4"/>
  <c r="E6" i="4" s="1"/>
  <c r="F6" i="4" s="1"/>
  <c r="D17" i="4"/>
  <c r="C16" i="4"/>
  <c r="C11" i="4"/>
  <c r="C14" i="4" s="1"/>
  <c r="D14" i="4" s="1"/>
  <c r="L5" i="4"/>
  <c r="D29" i="4" l="1"/>
  <c r="D25" i="4"/>
  <c r="G10" i="5"/>
  <c r="K8" i="4"/>
  <c r="L6" i="4"/>
  <c r="L7" i="4" s="1"/>
  <c r="D26" i="4"/>
  <c r="D5" i="4"/>
  <c r="D32" i="4"/>
  <c r="E20" i="4"/>
  <c r="F20" i="4" s="1"/>
  <c r="F25" i="4" s="1"/>
  <c r="F26" i="4" s="1"/>
  <c r="B12" i="5"/>
  <c r="B14" i="5" s="1"/>
  <c r="I40" i="5"/>
  <c r="G12" i="5"/>
  <c r="G14" i="5" s="1"/>
  <c r="I28" i="5"/>
  <c r="I30" i="5" s="1"/>
  <c r="I32" i="5" s="1"/>
  <c r="G54" i="5"/>
  <c r="D11" i="4"/>
  <c r="E17" i="4"/>
  <c r="E14" i="4"/>
  <c r="L8" i="4" l="1"/>
  <c r="D33" i="4"/>
  <c r="D34" i="4" s="1"/>
  <c r="F29" i="4"/>
  <c r="F32" i="4" s="1"/>
  <c r="F33" i="4" s="1"/>
  <c r="F34" i="4" s="1"/>
  <c r="E25" i="4"/>
  <c r="E26" i="4" s="1"/>
  <c r="E29" i="4"/>
  <c r="E32" i="4" s="1"/>
  <c r="E33" i="4" s="1"/>
  <c r="E34" i="4" s="1"/>
  <c r="E5" i="4"/>
  <c r="F5" i="4" s="1"/>
  <c r="F17" i="4"/>
  <c r="E11" i="4"/>
  <c r="G32" i="4" l="1"/>
  <c r="F8" i="4" l="1"/>
  <c r="E8" i="4"/>
  <c r="C7" i="4"/>
  <c r="C4" i="4" s="1"/>
  <c r="D7" i="4"/>
  <c r="E7" i="4" s="1"/>
  <c r="O6" i="5"/>
  <c r="B17" i="5" s="1"/>
  <c r="B18" i="5" s="1"/>
  <c r="B19" i="5" s="1"/>
  <c r="B20" i="5" s="1"/>
  <c r="D8" i="4"/>
  <c r="D23" i="4" s="1"/>
  <c r="O4" i="4"/>
  <c r="M5" i="4" s="1"/>
  <c r="O23" i="5" l="1"/>
  <c r="E4" i="4"/>
  <c r="D4" i="4"/>
  <c r="C12" i="4"/>
  <c r="O9" i="5" s="1"/>
  <c r="B25" i="5" s="1"/>
  <c r="B26" i="5" s="1"/>
  <c r="F7" i="4"/>
  <c r="F4" i="4" s="1"/>
  <c r="B53" i="5"/>
  <c r="B54" i="5" s="1"/>
  <c r="B63" i="5" s="1"/>
  <c r="P24" i="5"/>
  <c r="H17" i="5" s="1"/>
  <c r="I18" i="5" s="1"/>
  <c r="O19" i="5"/>
  <c r="E23" i="4"/>
  <c r="N5" i="4"/>
  <c r="D22" i="4"/>
  <c r="D24" i="4" l="1"/>
  <c r="D18" i="4"/>
  <c r="D16" i="4" s="1"/>
  <c r="C10" i="4"/>
  <c r="F23" i="4"/>
  <c r="O53" i="5" s="1"/>
  <c r="O40" i="5"/>
  <c r="B45" i="5"/>
  <c r="B46" i="5" s="1"/>
  <c r="P20" i="5"/>
  <c r="C27" i="5" s="1"/>
  <c r="O5" i="4"/>
  <c r="B62" i="5" l="1"/>
  <c r="B64" i="5" s="1"/>
  <c r="A65" i="5" s="1"/>
  <c r="G23" i="4"/>
  <c r="B55" i="5"/>
  <c r="B56" i="5" s="1"/>
  <c r="B69" i="5" s="1"/>
  <c r="P41" i="5"/>
  <c r="H19" i="5" s="1"/>
  <c r="I20" i="5" s="1"/>
  <c r="B57" i="5"/>
  <c r="B58" i="5" s="1"/>
  <c r="G62" i="5" s="1"/>
  <c r="P54" i="5"/>
  <c r="H21" i="5" s="1"/>
  <c r="M6" i="4"/>
  <c r="H68" i="5" l="1"/>
  <c r="O25" i="5"/>
  <c r="P26" i="5" s="1"/>
  <c r="I22" i="5"/>
  <c r="N6" i="4"/>
  <c r="E22" i="4"/>
  <c r="O21" i="5"/>
  <c r="E24" i="4" l="1"/>
  <c r="O36" i="5"/>
  <c r="O6" i="4"/>
  <c r="B27" i="5"/>
  <c r="B28" i="5" s="1"/>
  <c r="P22" i="5"/>
  <c r="C37" i="5" s="1"/>
  <c r="E18" i="4" l="1"/>
  <c r="E16" i="4" s="1"/>
  <c r="M7" i="4"/>
  <c r="M8" i="4" s="1"/>
  <c r="B47" i="5"/>
  <c r="B48" i="5" s="1"/>
  <c r="B70" i="5" s="1"/>
  <c r="B71" i="5" s="1"/>
  <c r="A72" i="5" s="1"/>
  <c r="P37" i="5"/>
  <c r="C29" i="5" s="1"/>
  <c r="O42" i="5" l="1"/>
  <c r="P43" i="5" s="1"/>
  <c r="H69" i="5"/>
  <c r="F22" i="4"/>
  <c r="N7" i="4"/>
  <c r="N8" i="4" s="1"/>
  <c r="O38" i="5"/>
  <c r="O51" i="5"/>
  <c r="F24" i="4" l="1"/>
  <c r="G22" i="4"/>
  <c r="F18" i="4"/>
  <c r="F16" i="4" s="1"/>
  <c r="G24" i="4"/>
  <c r="O7" i="4"/>
  <c r="P52" i="5"/>
  <c r="C31" i="5" s="1"/>
  <c r="B49" i="5"/>
  <c r="B50" i="5" s="1"/>
  <c r="G63" i="5" s="1"/>
  <c r="G64" i="5" s="1"/>
  <c r="F65" i="5" s="1"/>
  <c r="O55" i="5" s="1"/>
  <c r="P56" i="5" s="1"/>
  <c r="B29" i="5"/>
  <c r="B30" i="5" s="1"/>
  <c r="P39" i="5"/>
  <c r="C39" i="5" s="1"/>
  <c r="B32" i="5" l="1"/>
  <c r="H70" i="5"/>
  <c r="C15" i="4"/>
  <c r="O10" i="5" s="1"/>
  <c r="B35" i="5" s="1"/>
  <c r="B36" i="5" s="1"/>
  <c r="B38" i="5" s="1"/>
  <c r="B40" i="5" s="1"/>
  <c r="D15" i="4" l="1"/>
  <c r="C13" i="4"/>
  <c r="C9" i="4" s="1"/>
  <c r="C36" i="4" s="1"/>
  <c r="E15" i="4" l="1"/>
  <c r="D13" i="4"/>
  <c r="D12" i="4"/>
  <c r="D10" i="4" s="1"/>
  <c r="D37" i="4"/>
  <c r="E13" i="4" l="1"/>
  <c r="F15" i="4"/>
  <c r="F13" i="4" s="1"/>
  <c r="D9" i="4"/>
  <c r="D36" i="4" s="1"/>
  <c r="E12" i="4"/>
  <c r="F12" i="4" l="1"/>
  <c r="E10" i="4"/>
  <c r="E9" i="4" s="1"/>
  <c r="E36" i="4" s="1"/>
  <c r="E37" i="4"/>
  <c r="F10" i="4" l="1"/>
  <c r="F9" i="4" s="1"/>
  <c r="F36" i="4" s="1"/>
  <c r="F37" i="4"/>
</calcChain>
</file>

<file path=xl/sharedStrings.xml><?xml version="1.0" encoding="utf-8"?>
<sst xmlns="http://schemas.openxmlformats.org/spreadsheetml/2006/main" count="397" uniqueCount="131">
  <si>
    <t>Ativo</t>
  </si>
  <si>
    <t>Passivo</t>
  </si>
  <si>
    <t>Resultado</t>
  </si>
  <si>
    <t>Despesa Operacional</t>
  </si>
  <si>
    <t>Direito de uso</t>
  </si>
  <si>
    <t>Prestação</t>
  </si>
  <si>
    <t>Prazo</t>
  </si>
  <si>
    <t>Despesas Juros</t>
  </si>
  <si>
    <t>Amortização</t>
  </si>
  <si>
    <t>Saldo da Dívida</t>
  </si>
  <si>
    <t xml:space="preserve">Taxa Juros </t>
  </si>
  <si>
    <t>Direito de Uso</t>
  </si>
  <si>
    <t>Depreciação Acumulada</t>
  </si>
  <si>
    <t>Passivo Circulante</t>
  </si>
  <si>
    <t>Passivo Não Circulante</t>
  </si>
  <si>
    <t>Check</t>
  </si>
  <si>
    <t>Despesas Financeiras</t>
  </si>
  <si>
    <t>Caixa</t>
  </si>
  <si>
    <t>TOTAL ATIVO</t>
  </si>
  <si>
    <t>TOTAL PASSIVO + PL</t>
  </si>
  <si>
    <t>Lucros Acumulados</t>
  </si>
  <si>
    <t>Vendas</t>
  </si>
  <si>
    <t>CMV</t>
  </si>
  <si>
    <t>Capital Social</t>
  </si>
  <si>
    <t>TOTAL PL</t>
  </si>
  <si>
    <t>Lucro Líquido</t>
  </si>
  <si>
    <t>Estoques</t>
  </si>
  <si>
    <t>EBITDA</t>
  </si>
  <si>
    <t>Check Juros (desp x Passivo)</t>
  </si>
  <si>
    <t>Constituição da empresa</t>
  </si>
  <si>
    <t>Histórico</t>
  </si>
  <si>
    <t>Código</t>
  </si>
  <si>
    <t>Ano</t>
  </si>
  <si>
    <t>01</t>
  </si>
  <si>
    <t>D</t>
  </si>
  <si>
    <t>C</t>
  </si>
  <si>
    <t>Conta</t>
  </si>
  <si>
    <t>PL</t>
  </si>
  <si>
    <t>Estoque</t>
  </si>
  <si>
    <t>(01)</t>
  </si>
  <si>
    <t>02</t>
  </si>
  <si>
    <t>Contrato de Aluguel (3 anos / PMT 12.000 / Taxa 10%)</t>
  </si>
  <si>
    <t>(02)</t>
  </si>
  <si>
    <t>Arrendamento Mercantil (PC)</t>
  </si>
  <si>
    <t>Arrendamento Mercantil (PNC)</t>
  </si>
  <si>
    <t>Juros a apropriar (PC)</t>
  </si>
  <si>
    <t>*Conta redutora</t>
  </si>
  <si>
    <t>Juros a apropriar (PNC)</t>
  </si>
  <si>
    <t>03</t>
  </si>
  <si>
    <t>Venda mercadoria</t>
  </si>
  <si>
    <t>Receita de Vendas</t>
  </si>
  <si>
    <t>Venda mercadoria (recebimento a vista)</t>
  </si>
  <si>
    <t>Reconhecimento do custo</t>
  </si>
  <si>
    <t>Saída do estoque</t>
  </si>
  <si>
    <t>(03)</t>
  </si>
  <si>
    <t>04</t>
  </si>
  <si>
    <t>Pagamento Parcela 1/3</t>
  </si>
  <si>
    <t>(04)</t>
  </si>
  <si>
    <t>05</t>
  </si>
  <si>
    <t>Transferência da parcela do PNC para PC</t>
  </si>
  <si>
    <t>(05)</t>
  </si>
  <si>
    <t>06</t>
  </si>
  <si>
    <t>(06)</t>
  </si>
  <si>
    <t>Provisão da Despesa de Juros</t>
  </si>
  <si>
    <t>07</t>
  </si>
  <si>
    <t>Apropriação dos juros do PNC para PC</t>
  </si>
  <si>
    <t>(07)</t>
  </si>
  <si>
    <t>08</t>
  </si>
  <si>
    <t>Depreciação</t>
  </si>
  <si>
    <t>depreciação acumulada</t>
  </si>
  <si>
    <t>(08)</t>
  </si>
  <si>
    <t>(09)</t>
  </si>
  <si>
    <t>09</t>
  </si>
  <si>
    <t>Encerramento Contas Resultado</t>
  </si>
  <si>
    <t>Transferência para lucros acumulados</t>
  </si>
  <si>
    <t>Contas Resultado</t>
  </si>
  <si>
    <t>10</t>
  </si>
  <si>
    <t>11</t>
  </si>
  <si>
    <t>12</t>
  </si>
  <si>
    <t>13</t>
  </si>
  <si>
    <t>14</t>
  </si>
  <si>
    <t>15</t>
  </si>
  <si>
    <t>16</t>
  </si>
  <si>
    <t>(10)</t>
  </si>
  <si>
    <t>Pagamento Parcela 2/3</t>
  </si>
  <si>
    <t>(11)</t>
  </si>
  <si>
    <t>(12)</t>
  </si>
  <si>
    <t>(13)</t>
  </si>
  <si>
    <t>(14)</t>
  </si>
  <si>
    <t>(15)</t>
  </si>
  <si>
    <t>(16)</t>
  </si>
  <si>
    <t>17</t>
  </si>
  <si>
    <t>18</t>
  </si>
  <si>
    <t>19</t>
  </si>
  <si>
    <t>20</t>
  </si>
  <si>
    <t>21</t>
  </si>
  <si>
    <t>(17)</t>
  </si>
  <si>
    <t>(18)</t>
  </si>
  <si>
    <t>Pagamento Parcela 3/3</t>
  </si>
  <si>
    <t>(19)</t>
  </si>
  <si>
    <t>(20)</t>
  </si>
  <si>
    <t>(21)</t>
  </si>
  <si>
    <t>Valor Presente</t>
  </si>
  <si>
    <t>Juros parcelas</t>
  </si>
  <si>
    <t>Período</t>
  </si>
  <si>
    <t>TOTAL</t>
  </si>
  <si>
    <t>RESULTADO</t>
  </si>
  <si>
    <t>Antes IFRS 16 (IAS 17)</t>
  </si>
  <si>
    <t>Valor contrato</t>
  </si>
  <si>
    <t>Margem EBITDA</t>
  </si>
  <si>
    <t>Períodos</t>
  </si>
  <si>
    <t>CONTAS</t>
  </si>
  <si>
    <t>A0</t>
  </si>
  <si>
    <t>SDO A0</t>
  </si>
  <si>
    <t>SDO A1</t>
  </si>
  <si>
    <t>A1</t>
  </si>
  <si>
    <t>Lucro Líquido (A1)</t>
  </si>
  <si>
    <t>SDO A2</t>
  </si>
  <si>
    <t>A2</t>
  </si>
  <si>
    <t>Lucro Líquido (A2)</t>
  </si>
  <si>
    <t>SDO A3</t>
  </si>
  <si>
    <t>A3</t>
  </si>
  <si>
    <t>Lucro Líquido (A3)</t>
  </si>
  <si>
    <t>Tabelas</t>
  </si>
  <si>
    <t>Razonetes</t>
  </si>
  <si>
    <t>Site do IBEF</t>
  </si>
  <si>
    <t>Linkedin do autor</t>
  </si>
  <si>
    <t>http://ibefsp.com.br/</t>
  </si>
  <si>
    <t>secretaria@ibefsp.com.br</t>
  </si>
  <si>
    <t>Email</t>
  </si>
  <si>
    <t>https://www.linkedin.com/in/marcosbatistasilva/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</si>
</sst>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9" fontId="0" fillId="0" borderId="0" xfId="0" applyNumberFormat="1"/>
    <xf numFmtId="4" fontId="0" fillId="0" borderId="0" xfId="0" applyNumberFormat="1"/>
    <xf numFmtId="3" fontId="0" fillId="0" borderId="0" xfId="0" applyNumberFormat="1"/>
    <xf numFmtId="4" fontId="1" fillId="0" borderId="0" xfId="0" applyNumberFormat="1" applyFont="1"/>
    <xf numFmtId="3" fontId="1" fillId="0" borderId="0" xfId="0" applyNumberFormat="1" applyFont="1"/>
    <xf numFmtId="10" fontId="0" fillId="0" borderId="0" xfId="0" applyNumberFormat="1"/>
    <xf numFmtId="0" fontId="0" fillId="9" borderId="0" xfId="0" applyFill="1"/>
    <xf numFmtId="0" fontId="0" fillId="2" borderId="0" xfId="0" applyFill="1"/>
    <xf numFmtId="0" fontId="0" fillId="0" borderId="0" xfId="0" quotePrefix="1"/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0" borderId="0" xfId="0" quotePrefix="1" applyAlignment="1">
      <alignment horizontal="right"/>
    </xf>
    <xf numFmtId="2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0" fillId="0" borderId="0" xfId="0" quotePrefix="1" applyAlignment="1">
      <alignment horizontal="left"/>
    </xf>
    <xf numFmtId="4" fontId="0" fillId="7" borderId="4" xfId="0" applyNumberFormat="1" applyFill="1" applyBorder="1"/>
    <xf numFmtId="0" fontId="0" fillId="7" borderId="0" xfId="0" quotePrefix="1" applyFill="1" applyAlignment="1">
      <alignment horizontal="left"/>
    </xf>
    <xf numFmtId="0" fontId="0" fillId="7" borderId="0" xfId="0" quotePrefix="1" applyFill="1" applyAlignment="1">
      <alignment horizontal="right"/>
    </xf>
    <xf numFmtId="4" fontId="0" fillId="7" borderId="0" xfId="0" applyNumberFormat="1" applyFill="1"/>
    <xf numFmtId="0" fontId="0" fillId="7" borderId="0" xfId="0" quotePrefix="1" applyFill="1"/>
    <xf numFmtId="4" fontId="0" fillId="4" borderId="0" xfId="0" applyNumberFormat="1" applyFill="1"/>
    <xf numFmtId="0" fontId="0" fillId="4" borderId="0" xfId="0" quotePrefix="1" applyFill="1" applyAlignment="1">
      <alignment horizontal="right"/>
    </xf>
    <xf numFmtId="4" fontId="0" fillId="4" borderId="4" xfId="0" applyNumberFormat="1" applyFill="1" applyBorder="1"/>
    <xf numFmtId="0" fontId="0" fillId="4" borderId="0" xfId="0" quotePrefix="1" applyFill="1"/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4" fontId="1" fillId="0" borderId="0" xfId="0" applyNumberFormat="1" applyFont="1" applyBorder="1"/>
    <xf numFmtId="4" fontId="0" fillId="7" borderId="5" xfId="0" applyNumberFormat="1" applyFill="1" applyBorder="1"/>
    <xf numFmtId="0" fontId="1" fillId="0" borderId="5" xfId="0" applyFont="1" applyBorder="1"/>
    <xf numFmtId="4" fontId="0" fillId="4" borderId="5" xfId="0" applyNumberFormat="1" applyFill="1" applyBorder="1"/>
    <xf numFmtId="0" fontId="1" fillId="0" borderId="0" xfId="0" applyFont="1" applyBorder="1"/>
    <xf numFmtId="4" fontId="1" fillId="0" borderId="5" xfId="0" applyNumberFormat="1" applyFont="1" applyBorder="1"/>
    <xf numFmtId="4" fontId="0" fillId="0" borderId="0" xfId="0" applyNumberFormat="1" applyBorder="1"/>
    <xf numFmtId="4" fontId="0" fillId="7" borderId="0" xfId="0" applyNumberFormat="1" applyFill="1" applyBorder="1"/>
    <xf numFmtId="4" fontId="0" fillId="4" borderId="6" xfId="0" applyNumberFormat="1" applyFill="1" applyBorder="1"/>
    <xf numFmtId="4" fontId="0" fillId="7" borderId="6" xfId="0" applyNumberFormat="1" applyFill="1" applyBorder="1"/>
    <xf numFmtId="0" fontId="0" fillId="0" borderId="0" xfId="0" applyBorder="1"/>
    <xf numFmtId="4" fontId="1" fillId="0" borderId="6" xfId="0" applyNumberFormat="1" applyFont="1" applyBorder="1"/>
    <xf numFmtId="0" fontId="0" fillId="2" borderId="2" xfId="0" applyFill="1" applyBorder="1" applyAlignment="1"/>
    <xf numFmtId="0" fontId="0" fillId="2" borderId="3" xfId="0" applyFill="1" applyBorder="1" applyAlignment="1"/>
    <xf numFmtId="4" fontId="0" fillId="0" borderId="0" xfId="0" applyNumberFormat="1" applyAlignment="1">
      <alignment horizontal="left"/>
    </xf>
    <xf numFmtId="0" fontId="1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" fontId="0" fillId="5" borderId="11" xfId="0" applyNumberForma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4" fontId="0" fillId="8" borderId="1" xfId="0" applyNumberFormat="1" applyFill="1" applyBorder="1" applyAlignment="1">
      <alignment horizontal="center"/>
    </xf>
    <xf numFmtId="3" fontId="0" fillId="8" borderId="1" xfId="0" applyNumberFormat="1" applyFill="1" applyBorder="1" applyAlignment="1">
      <alignment horizontal="center"/>
    </xf>
    <xf numFmtId="4" fontId="0" fillId="8" borderId="11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4" fontId="1" fillId="5" borderId="13" xfId="0" applyNumberFormat="1" applyFont="1" applyFill="1" applyBorder="1" applyAlignment="1">
      <alignment horizontal="center"/>
    </xf>
    <xf numFmtId="4" fontId="0" fillId="5" borderId="14" xfId="0" applyNumberFormat="1" applyFill="1" applyBorder="1" applyAlignment="1">
      <alignment horizontal="center"/>
    </xf>
    <xf numFmtId="0" fontId="0" fillId="5" borderId="10" xfId="0" applyFill="1" applyBorder="1"/>
    <xf numFmtId="0" fontId="1" fillId="8" borderId="10" xfId="0" applyFont="1" applyFill="1" applyBorder="1"/>
    <xf numFmtId="4" fontId="1" fillId="8" borderId="1" xfId="0" applyNumberFormat="1" applyFont="1" applyFill="1" applyBorder="1"/>
    <xf numFmtId="4" fontId="1" fillId="8" borderId="11" xfId="0" applyNumberFormat="1" applyFont="1" applyFill="1" applyBorder="1"/>
    <xf numFmtId="3" fontId="0" fillId="5" borderId="1" xfId="0" applyNumberFormat="1" applyFill="1" applyBorder="1"/>
    <xf numFmtId="3" fontId="0" fillId="5" borderId="11" xfId="0" applyNumberFormat="1" applyFill="1" applyBorder="1"/>
    <xf numFmtId="0" fontId="0" fillId="8" borderId="10" xfId="0" applyFill="1" applyBorder="1"/>
    <xf numFmtId="3" fontId="0" fillId="8" borderId="1" xfId="0" applyNumberFormat="1" applyFill="1" applyBorder="1"/>
    <xf numFmtId="3" fontId="0" fillId="8" borderId="11" xfId="0" applyNumberFormat="1" applyFill="1" applyBorder="1"/>
    <xf numFmtId="4" fontId="0" fillId="5" borderId="1" xfId="0" applyNumberFormat="1" applyFill="1" applyBorder="1"/>
    <xf numFmtId="4" fontId="0" fillId="5" borderId="11" xfId="0" applyNumberFormat="1" applyFill="1" applyBorder="1"/>
    <xf numFmtId="0" fontId="0" fillId="8" borderId="1" xfId="0" applyFill="1" applyBorder="1"/>
    <xf numFmtId="4" fontId="0" fillId="8" borderId="1" xfId="0" applyNumberFormat="1" applyFill="1" applyBorder="1"/>
    <xf numFmtId="4" fontId="0" fillId="8" borderId="11" xfId="0" applyNumberFormat="1" applyFill="1" applyBorder="1"/>
    <xf numFmtId="0" fontId="1" fillId="5" borderId="10" xfId="0" applyFont="1" applyFill="1" applyBorder="1"/>
    <xf numFmtId="4" fontId="1" fillId="5" borderId="1" xfId="0" applyNumberFormat="1" applyFont="1" applyFill="1" applyBorder="1"/>
    <xf numFmtId="4" fontId="1" fillId="5" borderId="11" xfId="0" applyNumberFormat="1" applyFont="1" applyFill="1" applyBorder="1"/>
    <xf numFmtId="3" fontId="1" fillId="8" borderId="1" xfId="0" applyNumberFormat="1" applyFont="1" applyFill="1" applyBorder="1"/>
    <xf numFmtId="3" fontId="1" fillId="8" borderId="11" xfId="0" applyNumberFormat="1" applyFont="1" applyFill="1" applyBorder="1"/>
    <xf numFmtId="0" fontId="0" fillId="5" borderId="1" xfId="0" applyFill="1" applyBorder="1"/>
    <xf numFmtId="0" fontId="0" fillId="5" borderId="11" xfId="0" applyFill="1" applyBorder="1"/>
    <xf numFmtId="10" fontId="1" fillId="8" borderId="1" xfId="0" applyNumberFormat="1" applyFont="1" applyFill="1" applyBorder="1"/>
    <xf numFmtId="10" fontId="1" fillId="8" borderId="11" xfId="0" applyNumberFormat="1" applyFont="1" applyFill="1" applyBorder="1"/>
    <xf numFmtId="0" fontId="0" fillId="8" borderId="11" xfId="0" applyFill="1" applyBorder="1"/>
    <xf numFmtId="0" fontId="1" fillId="8" borderId="12" xfId="0" applyFont="1" applyFill="1" applyBorder="1"/>
    <xf numFmtId="0" fontId="0" fillId="8" borderId="13" xfId="0" applyFill="1" applyBorder="1"/>
    <xf numFmtId="10" fontId="1" fillId="8" borderId="13" xfId="0" applyNumberFormat="1" applyFont="1" applyFill="1" applyBorder="1"/>
    <xf numFmtId="10" fontId="1" fillId="8" borderId="14" xfId="0" applyNumberFormat="1" applyFont="1" applyFill="1" applyBorder="1"/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0" fillId="5" borderId="17" xfId="0" applyFill="1" applyBorder="1"/>
    <xf numFmtId="0" fontId="1" fillId="8" borderId="2" xfId="0" applyFont="1" applyFill="1" applyBorder="1"/>
    <xf numFmtId="0" fontId="1" fillId="8" borderId="1" xfId="0" applyFont="1" applyFill="1" applyBorder="1"/>
    <xf numFmtId="0" fontId="2" fillId="0" borderId="0" xfId="1"/>
    <xf numFmtId="0" fontId="1" fillId="8" borderId="2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Apresentaca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Apresentaca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5</xdr:row>
      <xdr:rowOff>0</xdr:rowOff>
    </xdr:from>
    <xdr:to>
      <xdr:col>9</xdr:col>
      <xdr:colOff>456732</xdr:colOff>
      <xdr:row>9</xdr:row>
      <xdr:rowOff>76100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4225" y="904875"/>
          <a:ext cx="3742857" cy="8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297656</xdr:colOff>
      <xdr:row>1</xdr:row>
      <xdr:rowOff>35719</xdr:rowOff>
    </xdr:from>
    <xdr:to>
      <xdr:col>17</xdr:col>
      <xdr:colOff>428624</xdr:colOff>
      <xdr:row>2</xdr:row>
      <xdr:rowOff>71438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ltGray">
        <a:xfrm>
          <a:off x="15763875" y="226219"/>
          <a:ext cx="928687" cy="238125"/>
        </a:xfrm>
        <a:prstGeom prst="roundRect">
          <a:avLst/>
        </a:prstGeom>
        <a:solidFill>
          <a:schemeClr val="tx2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 dirty="0" err="1">
              <a:solidFill>
                <a:schemeClr val="bg2"/>
              </a:solidFill>
              <a:latin typeface="Georgia" pitchFamily="18" charset="0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928687</xdr:colOff>
      <xdr:row>2</xdr:row>
      <xdr:rowOff>47625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ltGray">
        <a:xfrm>
          <a:off x="4402667" y="179917"/>
          <a:ext cx="928687" cy="238125"/>
        </a:xfrm>
        <a:prstGeom prst="roundRect">
          <a:avLst/>
        </a:prstGeom>
        <a:solidFill>
          <a:schemeClr val="tx2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 dirty="0" err="1">
              <a:solidFill>
                <a:schemeClr val="bg2"/>
              </a:solidFill>
              <a:latin typeface="Georgia" pitchFamily="18" charset="0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in/marcosbatistasilva/" TargetMode="External"/><Relationship Id="rId2" Type="http://schemas.openxmlformats.org/officeDocument/2006/relationships/hyperlink" Target="mailto:secretaria@ibefsp.com.br" TargetMode="External"/><Relationship Id="rId1" Type="http://schemas.openxmlformats.org/officeDocument/2006/relationships/hyperlink" Target="http://ibefsp.com.br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7:D17"/>
  <sheetViews>
    <sheetView showGridLines="0" tabSelected="1" workbookViewId="0">
      <selection activeCell="L19" sqref="L19"/>
    </sheetView>
  </sheetViews>
  <sheetFormatPr defaultRowHeight="14.25" x14ac:dyDescent="0.2"/>
  <cols>
    <col min="3" max="3" width="14.75" bestFit="1" customWidth="1"/>
  </cols>
  <sheetData>
    <row r="7" spans="3:4" x14ac:dyDescent="0.2">
      <c r="C7" s="95" t="s">
        <v>123</v>
      </c>
    </row>
    <row r="8" spans="3:4" x14ac:dyDescent="0.2">
      <c r="C8" s="95" t="s">
        <v>124</v>
      </c>
    </row>
    <row r="15" spans="3:4" x14ac:dyDescent="0.2">
      <c r="C15" t="s">
        <v>125</v>
      </c>
      <c r="D15" s="95" t="s">
        <v>127</v>
      </c>
    </row>
    <row r="16" spans="3:4" x14ac:dyDescent="0.2">
      <c r="C16" t="s">
        <v>129</v>
      </c>
      <c r="D16" s="95" t="s">
        <v>128</v>
      </c>
    </row>
    <row r="17" spans="3:4" x14ac:dyDescent="0.2">
      <c r="C17" t="s">
        <v>126</v>
      </c>
      <c r="D17" s="95" t="s">
        <v>130</v>
      </c>
    </row>
  </sheetData>
  <hyperlinks>
    <hyperlink ref="D15" r:id="rId1" xr:uid="{00000000-0004-0000-0000-000000000000}"/>
    <hyperlink ref="D16" r:id="rId2" xr:uid="{00000000-0004-0000-0000-000001000000}"/>
    <hyperlink ref="D17" r:id="rId3" xr:uid="{00000000-0004-0000-0000-000002000000}"/>
    <hyperlink ref="C7" location="DadosIFRS16_IBEF!A1" display="Tabelas" xr:uid="{00000000-0004-0000-0000-000003000000}"/>
    <hyperlink ref="C8" location="Razonetes!A1" display="Razonetes" xr:uid="{00000000-0004-0000-0000-000004000000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38"/>
  <sheetViews>
    <sheetView zoomScale="80" zoomScaleNormal="80" workbookViewId="0">
      <selection activeCell="J27" sqref="J27"/>
    </sheetView>
  </sheetViews>
  <sheetFormatPr defaultRowHeight="14.25" x14ac:dyDescent="0.2"/>
  <cols>
    <col min="2" max="2" width="27.625" bestFit="1" customWidth="1"/>
    <col min="3" max="3" width="9.625" bestFit="1" customWidth="1"/>
    <col min="4" max="6" width="10.25" bestFit="1" customWidth="1"/>
    <col min="7" max="7" width="10.25" customWidth="1"/>
    <col min="8" max="8" width="7.875" bestFit="1" customWidth="1"/>
    <col min="9" max="9" width="10.25" bestFit="1" customWidth="1"/>
    <col min="10" max="10" width="14.375" bestFit="1" customWidth="1"/>
    <col min="11" max="11" width="13.875" bestFit="1" customWidth="1"/>
    <col min="12" max="12" width="13.25" customWidth="1"/>
    <col min="13" max="13" width="15.625" bestFit="1" customWidth="1"/>
    <col min="14" max="14" width="15.75" customWidth="1"/>
    <col min="15" max="15" width="14.625" bestFit="1" customWidth="1"/>
    <col min="16" max="16" width="9.5" bestFit="1" customWidth="1"/>
    <col min="17" max="17" width="10.5" bestFit="1" customWidth="1"/>
    <col min="18" max="18" width="10.25" customWidth="1"/>
    <col min="19" max="20" width="9.875" bestFit="1" customWidth="1"/>
    <col min="21" max="22" width="9.5" bestFit="1" customWidth="1"/>
  </cols>
  <sheetData>
    <row r="1" spans="2:22" ht="15" thickBot="1" x14ac:dyDescent="0.25"/>
    <row r="2" spans="2:22" ht="15.75" thickBot="1" x14ac:dyDescent="0.3">
      <c r="B2" s="93" t="s">
        <v>111</v>
      </c>
      <c r="C2" s="96" t="s">
        <v>110</v>
      </c>
      <c r="D2" s="97"/>
      <c r="E2" s="97"/>
      <c r="F2" s="98"/>
    </row>
    <row r="3" spans="2:22" ht="15" x14ac:dyDescent="0.25">
      <c r="B3" s="92"/>
      <c r="C3" s="90" t="s">
        <v>112</v>
      </c>
      <c r="D3" s="90" t="s">
        <v>115</v>
      </c>
      <c r="E3" s="90" t="s">
        <v>118</v>
      </c>
      <c r="F3" s="91" t="s">
        <v>121</v>
      </c>
      <c r="G3" s="1" t="s">
        <v>105</v>
      </c>
      <c r="I3" s="47" t="s">
        <v>104</v>
      </c>
      <c r="J3" s="48" t="s">
        <v>102</v>
      </c>
      <c r="K3" s="48" t="s">
        <v>103</v>
      </c>
      <c r="L3" s="48" t="s">
        <v>5</v>
      </c>
      <c r="M3" s="48" t="s">
        <v>7</v>
      </c>
      <c r="N3" s="48" t="s">
        <v>8</v>
      </c>
      <c r="O3" s="49" t="s">
        <v>9</v>
      </c>
    </row>
    <row r="4" spans="2:22" ht="15" x14ac:dyDescent="0.25">
      <c r="B4" s="63" t="s">
        <v>18</v>
      </c>
      <c r="C4" s="64">
        <f>SUM(C5:C8)</f>
        <v>99842.22389181066</v>
      </c>
      <c r="D4" s="64">
        <f>SUM(D5:D8)</f>
        <v>92894.815927873773</v>
      </c>
      <c r="E4" s="64">
        <f>SUM(E5:E8)</f>
        <v>85947.407963936887</v>
      </c>
      <c r="F4" s="65">
        <f>SUM(F5:F8)</f>
        <v>79000</v>
      </c>
      <c r="I4" s="50">
        <v>0</v>
      </c>
      <c r="J4" s="51"/>
      <c r="K4" s="51"/>
      <c r="L4" s="51"/>
      <c r="M4" s="51"/>
      <c r="N4" s="51"/>
      <c r="O4" s="52">
        <f>J8</f>
        <v>29842.22389181066</v>
      </c>
    </row>
    <row r="5" spans="2:22" ht="15" x14ac:dyDescent="0.25">
      <c r="B5" s="62" t="s">
        <v>17</v>
      </c>
      <c r="C5" s="66">
        <v>40000</v>
      </c>
      <c r="D5" s="66">
        <f>-$K$11+C5-D20</f>
        <v>53000</v>
      </c>
      <c r="E5" s="66">
        <f>-$K$11+D5-E20</f>
        <v>66000</v>
      </c>
      <c r="F5" s="67">
        <f>-$K$11+E5-F20</f>
        <v>79000</v>
      </c>
      <c r="G5" s="6"/>
      <c r="I5" s="53">
        <v>1</v>
      </c>
      <c r="J5" s="54">
        <f>K11/(1+K13)</f>
        <v>10909.090909090908</v>
      </c>
      <c r="K5" s="54">
        <f>K11-J5</f>
        <v>1090.9090909090919</v>
      </c>
      <c r="L5" s="55">
        <f>K11</f>
        <v>12000</v>
      </c>
      <c r="M5" s="54">
        <f>O4*$K$13</f>
        <v>2984.2223891810663</v>
      </c>
      <c r="N5" s="54">
        <f>L5-M5</f>
        <v>9015.7776108189337</v>
      </c>
      <c r="O5" s="56">
        <f>O4-N5</f>
        <v>20826.446280991724</v>
      </c>
    </row>
    <row r="6" spans="2:22" x14ac:dyDescent="0.2">
      <c r="B6" s="68" t="s">
        <v>26</v>
      </c>
      <c r="C6" s="69">
        <v>30000</v>
      </c>
      <c r="D6" s="69">
        <f>C6-D21</f>
        <v>20000</v>
      </c>
      <c r="E6" s="69">
        <f>D6-E21</f>
        <v>10000</v>
      </c>
      <c r="F6" s="70">
        <f>E6-F21</f>
        <v>0</v>
      </c>
      <c r="G6" s="5"/>
      <c r="I6" s="50">
        <v>2</v>
      </c>
      <c r="J6" s="57">
        <f>K11/(1+K13)^2</f>
        <v>9917.355371900825</v>
      </c>
      <c r="K6" s="57">
        <f>K11-J6</f>
        <v>2082.644628099175</v>
      </c>
      <c r="L6" s="58">
        <f>L5</f>
        <v>12000</v>
      </c>
      <c r="M6" s="57">
        <f>O5*$K$13</f>
        <v>2082.6446280991727</v>
      </c>
      <c r="N6" s="57">
        <f>L6-M6</f>
        <v>9917.3553719008269</v>
      </c>
      <c r="O6" s="52">
        <f>O5-N6</f>
        <v>10909.090909090897</v>
      </c>
    </row>
    <row r="7" spans="2:22" x14ac:dyDescent="0.2">
      <c r="B7" s="62" t="s">
        <v>11</v>
      </c>
      <c r="C7" s="71">
        <f>J8</f>
        <v>29842.22389181066</v>
      </c>
      <c r="D7" s="71">
        <f>C7</f>
        <v>29842.22389181066</v>
      </c>
      <c r="E7" s="71">
        <f t="shared" ref="E7:F7" si="0">D7</f>
        <v>29842.22389181066</v>
      </c>
      <c r="F7" s="72">
        <f t="shared" si="0"/>
        <v>29842.22389181066</v>
      </c>
      <c r="G7" s="5"/>
      <c r="I7" s="53">
        <v>3</v>
      </c>
      <c r="J7" s="54">
        <f>K11/(1+K13)^3</f>
        <v>9015.77761081893</v>
      </c>
      <c r="K7" s="54">
        <f>K11-J7</f>
        <v>2984.22238918107</v>
      </c>
      <c r="L7" s="55">
        <f t="shared" ref="L7" si="1">L6</f>
        <v>12000</v>
      </c>
      <c r="M7" s="54">
        <f>O6*$K$13</f>
        <v>1090.9090909090899</v>
      </c>
      <c r="N7" s="54">
        <f>L7-M7</f>
        <v>10909.09090909091</v>
      </c>
      <c r="O7" s="56">
        <f>O6-N7</f>
        <v>0</v>
      </c>
      <c r="R7" s="4"/>
    </row>
    <row r="8" spans="2:22" ht="15.75" thickBot="1" x14ac:dyDescent="0.3">
      <c r="B8" s="68" t="s">
        <v>12</v>
      </c>
      <c r="C8" s="73">
        <v>0</v>
      </c>
      <c r="D8" s="74">
        <f>($J$8/$K$12*-1)</f>
        <v>-9947.4079639368865</v>
      </c>
      <c r="E8" s="74">
        <f>($J$8/$K$12*-1)*2</f>
        <v>-19894.815927873773</v>
      </c>
      <c r="F8" s="75">
        <f>($J$8/$K$12*-1)*3</f>
        <v>-29842.22389181066</v>
      </c>
      <c r="G8" s="4"/>
      <c r="I8" s="59"/>
      <c r="J8" s="60">
        <f>SUM(J5:J7)</f>
        <v>29842.22389181066</v>
      </c>
      <c r="K8" s="60">
        <f>SUM(K5:K7)</f>
        <v>6157.7761081893368</v>
      </c>
      <c r="L8" s="60">
        <f>SUM(L5:L7)</f>
        <v>36000</v>
      </c>
      <c r="M8" s="60">
        <f>SUM(M5:M7)</f>
        <v>6157.7761081893295</v>
      </c>
      <c r="N8" s="60">
        <f>SUM(N5:N7)</f>
        <v>29842.223891810674</v>
      </c>
      <c r="O8" s="61"/>
      <c r="R8" s="4"/>
    </row>
    <row r="9" spans="2:22" ht="15" x14ac:dyDescent="0.25">
      <c r="B9" s="76" t="s">
        <v>19</v>
      </c>
      <c r="C9" s="77">
        <f>C10+C13+C16</f>
        <v>99842.223891810674</v>
      </c>
      <c r="D9" s="77">
        <f>D10+D13+D16</f>
        <v>92894.815927873773</v>
      </c>
      <c r="E9" s="77">
        <f>E10+E13+E16</f>
        <v>85947.407963936901</v>
      </c>
      <c r="F9" s="78">
        <f>F10+F13+F16</f>
        <v>79000.000000000015</v>
      </c>
    </row>
    <row r="10" spans="2:22" ht="15" x14ac:dyDescent="0.25">
      <c r="B10" s="63" t="s">
        <v>13</v>
      </c>
      <c r="C10" s="64">
        <f>C11+C12</f>
        <v>9015.7776108189337</v>
      </c>
      <c r="D10" s="64">
        <f>D11+D12</f>
        <v>9917.3553719008269</v>
      </c>
      <c r="E10" s="64">
        <f>E11+E12</f>
        <v>10909.09090909091</v>
      </c>
      <c r="F10" s="65">
        <f>F11+F12</f>
        <v>0</v>
      </c>
      <c r="G10" s="6"/>
    </row>
    <row r="11" spans="2:22" ht="15" x14ac:dyDescent="0.25">
      <c r="B11" s="62" t="s">
        <v>43</v>
      </c>
      <c r="C11" s="71">
        <f>K11</f>
        <v>12000</v>
      </c>
      <c r="D11" s="71">
        <f>C14-D14</f>
        <v>12000</v>
      </c>
      <c r="E11" s="71">
        <f>D14-E14</f>
        <v>12000</v>
      </c>
      <c r="F11" s="72">
        <v>0</v>
      </c>
      <c r="G11" s="6"/>
      <c r="J11" t="s">
        <v>5</v>
      </c>
      <c r="K11" s="5">
        <v>12000</v>
      </c>
    </row>
    <row r="12" spans="2:22" x14ac:dyDescent="0.2">
      <c r="B12" s="68" t="s">
        <v>45</v>
      </c>
      <c r="C12" s="74">
        <f>-M5</f>
        <v>-2984.2223891810663</v>
      </c>
      <c r="D12" s="74">
        <f>C15-D15</f>
        <v>-2082.6446280991727</v>
      </c>
      <c r="E12" s="74">
        <f>D15-E15</f>
        <v>-1090.9090909090905</v>
      </c>
      <c r="F12" s="75">
        <f>E12-E12</f>
        <v>0</v>
      </c>
      <c r="G12" s="4"/>
      <c r="J12" t="s">
        <v>6</v>
      </c>
      <c r="K12">
        <v>3</v>
      </c>
    </row>
    <row r="13" spans="2:22" ht="15" x14ac:dyDescent="0.25">
      <c r="B13" s="76" t="s">
        <v>14</v>
      </c>
      <c r="C13" s="77">
        <f>C14+C15</f>
        <v>20826.446280991739</v>
      </c>
      <c r="D13" s="77">
        <f>D14+D15</f>
        <v>10909.09090909091</v>
      </c>
      <c r="E13" s="77">
        <f>E14+E15</f>
        <v>0</v>
      </c>
      <c r="F13" s="78">
        <f>F14+F15</f>
        <v>0</v>
      </c>
      <c r="G13" s="4"/>
      <c r="J13" t="s">
        <v>10</v>
      </c>
      <c r="K13" s="3">
        <v>0.1</v>
      </c>
      <c r="L13" s="2"/>
      <c r="M13" s="2"/>
      <c r="N13" s="2"/>
      <c r="O13" s="2"/>
    </row>
    <row r="14" spans="2:22" s="2" customFormat="1" ht="15" x14ac:dyDescent="0.25">
      <c r="B14" s="68" t="s">
        <v>44</v>
      </c>
      <c r="C14" s="74">
        <f>K12*K11-C11</f>
        <v>24000</v>
      </c>
      <c r="D14" s="74">
        <f>C14-$K$11</f>
        <v>12000</v>
      </c>
      <c r="E14" s="74">
        <f>D14-$K$11</f>
        <v>0</v>
      </c>
      <c r="F14" s="75">
        <v>0</v>
      </c>
      <c r="G14" s="6"/>
      <c r="I14" s="4"/>
      <c r="J14" t="s">
        <v>108</v>
      </c>
      <c r="K14" s="5">
        <f>(K11*K12)</f>
        <v>36000</v>
      </c>
      <c r="L14"/>
      <c r="M14"/>
      <c r="N14"/>
      <c r="O14"/>
      <c r="P14"/>
      <c r="U14" s="6"/>
      <c r="V14" s="6"/>
    </row>
    <row r="15" spans="2:22" ht="15" x14ac:dyDescent="0.25">
      <c r="B15" s="62" t="s">
        <v>47</v>
      </c>
      <c r="C15" s="71">
        <f>(M8-M5)*-1</f>
        <v>-3173.5537190082632</v>
      </c>
      <c r="D15" s="71">
        <f>C15+M6</f>
        <v>-1090.9090909090905</v>
      </c>
      <c r="E15" s="71">
        <f>D15-D15</f>
        <v>0</v>
      </c>
      <c r="F15" s="72">
        <f>E15</f>
        <v>0</v>
      </c>
      <c r="G15" s="4"/>
      <c r="I15" s="2"/>
      <c r="J15" t="s">
        <v>21</v>
      </c>
      <c r="K15" s="5">
        <v>25000</v>
      </c>
      <c r="P15" s="2"/>
      <c r="U15" s="5"/>
      <c r="V15" s="5"/>
    </row>
    <row r="16" spans="2:22" ht="15" x14ac:dyDescent="0.25">
      <c r="B16" s="63" t="s">
        <v>24</v>
      </c>
      <c r="C16" s="79">
        <f>SUM(C17:C18)</f>
        <v>70000</v>
      </c>
      <c r="D16" s="79">
        <f>SUM(D17:D18)</f>
        <v>72068.369646882042</v>
      </c>
      <c r="E16" s="79">
        <f>SUM(E17:E18)</f>
        <v>75038.317054845989</v>
      </c>
      <c r="F16" s="80">
        <f>SUM(F17:F18)</f>
        <v>79000.000000000015</v>
      </c>
      <c r="J16" t="s">
        <v>22</v>
      </c>
      <c r="K16" s="5">
        <v>10000</v>
      </c>
      <c r="U16" s="4"/>
      <c r="V16" s="4"/>
    </row>
    <row r="17" spans="2:22" ht="15" x14ac:dyDescent="0.25">
      <c r="B17" s="62" t="s">
        <v>23</v>
      </c>
      <c r="C17" s="66">
        <v>70000</v>
      </c>
      <c r="D17" s="66">
        <f>C17</f>
        <v>70000</v>
      </c>
      <c r="E17" s="66">
        <f>D17</f>
        <v>70000</v>
      </c>
      <c r="F17" s="67">
        <f>E17</f>
        <v>70000</v>
      </c>
      <c r="G17" s="7"/>
      <c r="I17" s="4"/>
      <c r="U17" s="4"/>
      <c r="V17" s="4"/>
    </row>
    <row r="18" spans="2:22" x14ac:dyDescent="0.2">
      <c r="B18" s="68" t="s">
        <v>20</v>
      </c>
      <c r="C18" s="69"/>
      <c r="D18" s="74">
        <f>C18+(D24*-1)</f>
        <v>2068.3696468820472</v>
      </c>
      <c r="E18" s="74">
        <f>D18+(E24*-1)</f>
        <v>5038.3170548459875</v>
      </c>
      <c r="F18" s="75">
        <f>E18+(F24*-1)</f>
        <v>9000.0000000000109</v>
      </c>
      <c r="G18" s="5"/>
    </row>
    <row r="19" spans="2:22" ht="15" x14ac:dyDescent="0.25">
      <c r="B19" s="76" t="s">
        <v>106</v>
      </c>
      <c r="C19" s="81"/>
      <c r="D19" s="81"/>
      <c r="E19" s="81"/>
      <c r="F19" s="82"/>
      <c r="G19" s="4"/>
      <c r="U19" s="6"/>
      <c r="V19" s="6"/>
    </row>
    <row r="20" spans="2:22" x14ac:dyDescent="0.2">
      <c r="B20" s="68" t="s">
        <v>50</v>
      </c>
      <c r="C20" s="73"/>
      <c r="D20" s="74">
        <f>-K15</f>
        <v>-25000</v>
      </c>
      <c r="E20" s="74">
        <f>D20</f>
        <v>-25000</v>
      </c>
      <c r="F20" s="75">
        <f>E20</f>
        <v>-25000</v>
      </c>
      <c r="U20" s="4"/>
    </row>
    <row r="21" spans="2:22" ht="15" x14ac:dyDescent="0.25">
      <c r="B21" s="62" t="s">
        <v>22</v>
      </c>
      <c r="C21" s="81"/>
      <c r="D21" s="71">
        <v>10000</v>
      </c>
      <c r="E21" s="71">
        <v>10000</v>
      </c>
      <c r="F21" s="72">
        <v>10000</v>
      </c>
      <c r="G21" s="4"/>
      <c r="U21" s="6"/>
      <c r="V21" s="6"/>
    </row>
    <row r="22" spans="2:22" x14ac:dyDescent="0.2">
      <c r="B22" s="68" t="s">
        <v>16</v>
      </c>
      <c r="C22" s="73"/>
      <c r="D22" s="74">
        <f>M5</f>
        <v>2984.2223891810663</v>
      </c>
      <c r="E22" s="74">
        <f>M6</f>
        <v>2082.6446280991727</v>
      </c>
      <c r="F22" s="75">
        <f>M7</f>
        <v>1090.9090909090899</v>
      </c>
      <c r="G22" s="4">
        <f>SUM(D22:F22)</f>
        <v>6157.7761081893295</v>
      </c>
      <c r="U22" s="4"/>
    </row>
    <row r="23" spans="2:22" ht="15" x14ac:dyDescent="0.25">
      <c r="B23" s="62" t="s">
        <v>68</v>
      </c>
      <c r="C23" s="81"/>
      <c r="D23" s="71">
        <f>D8*-1</f>
        <v>9947.4079639368865</v>
      </c>
      <c r="E23" s="71">
        <f>D23</f>
        <v>9947.4079639368865</v>
      </c>
      <c r="F23" s="72">
        <f>E23</f>
        <v>9947.4079639368865</v>
      </c>
      <c r="G23" s="4">
        <f>SUM(D23:F23)</f>
        <v>29842.22389181066</v>
      </c>
      <c r="J23" s="2"/>
      <c r="K23" s="2"/>
      <c r="L23" s="2"/>
      <c r="M23" s="2"/>
      <c r="N23" s="2"/>
      <c r="O23" s="2"/>
      <c r="U23" s="4"/>
    </row>
    <row r="24" spans="2:22" s="2" customFormat="1" ht="15" x14ac:dyDescent="0.25">
      <c r="B24" s="63" t="s">
        <v>25</v>
      </c>
      <c r="C24" s="64"/>
      <c r="D24" s="64">
        <f>SUM(D19:D23)</f>
        <v>-2068.3696468820472</v>
      </c>
      <c r="E24" s="64">
        <f>SUM(E19:E23)</f>
        <v>-2969.9474079639403</v>
      </c>
      <c r="F24" s="65">
        <f>SUM(F19:F23)</f>
        <v>-3961.6829451540234</v>
      </c>
      <c r="G24" s="4">
        <f>SUM(C24:F24)</f>
        <v>-9000.0000000000109</v>
      </c>
      <c r="H24" s="6"/>
      <c r="J24"/>
      <c r="K24"/>
      <c r="L24"/>
      <c r="M24"/>
      <c r="N24"/>
      <c r="O24"/>
    </row>
    <row r="25" spans="2:22" ht="15" x14ac:dyDescent="0.25">
      <c r="B25" s="76" t="s">
        <v>27</v>
      </c>
      <c r="C25" s="81"/>
      <c r="D25" s="77">
        <f>D20+D21</f>
        <v>-15000</v>
      </c>
      <c r="E25" s="77">
        <f>E20+E21</f>
        <v>-15000</v>
      </c>
      <c r="F25" s="78">
        <f>F20+F21</f>
        <v>-15000</v>
      </c>
      <c r="U25" s="4"/>
      <c r="V25" s="4"/>
    </row>
    <row r="26" spans="2:22" ht="15" x14ac:dyDescent="0.25">
      <c r="B26" s="63" t="s">
        <v>109</v>
      </c>
      <c r="C26" s="73"/>
      <c r="D26" s="83">
        <f>D25/D20</f>
        <v>0.6</v>
      </c>
      <c r="E26" s="83">
        <f>E25/E20</f>
        <v>0.6</v>
      </c>
      <c r="F26" s="84">
        <f>F25/F20</f>
        <v>0.6</v>
      </c>
      <c r="G26" s="4"/>
    </row>
    <row r="27" spans="2:22" x14ac:dyDescent="0.2">
      <c r="B27" s="62"/>
      <c r="C27" s="81"/>
      <c r="D27" s="81"/>
      <c r="E27" s="81"/>
      <c r="F27" s="82"/>
      <c r="G27" s="8"/>
      <c r="U27" s="4"/>
      <c r="V27" s="4"/>
    </row>
    <row r="28" spans="2:22" ht="15" x14ac:dyDescent="0.25">
      <c r="B28" s="63" t="s">
        <v>107</v>
      </c>
      <c r="C28" s="73"/>
      <c r="D28" s="73"/>
      <c r="E28" s="73"/>
      <c r="F28" s="85"/>
    </row>
    <row r="29" spans="2:22" x14ac:dyDescent="0.2">
      <c r="B29" s="62" t="s">
        <v>21</v>
      </c>
      <c r="C29" s="81"/>
      <c r="D29" s="71">
        <f t="shared" ref="D29:F30" si="2">D20</f>
        <v>-25000</v>
      </c>
      <c r="E29" s="71">
        <f t="shared" si="2"/>
        <v>-25000</v>
      </c>
      <c r="F29" s="72">
        <f t="shared" si="2"/>
        <v>-25000</v>
      </c>
    </row>
    <row r="30" spans="2:22" x14ac:dyDescent="0.2">
      <c r="B30" s="68" t="s">
        <v>22</v>
      </c>
      <c r="C30" s="73"/>
      <c r="D30" s="74">
        <f t="shared" si="2"/>
        <v>10000</v>
      </c>
      <c r="E30" s="74">
        <f t="shared" si="2"/>
        <v>10000</v>
      </c>
      <c r="F30" s="75">
        <f t="shared" si="2"/>
        <v>10000</v>
      </c>
      <c r="G30" s="4"/>
      <c r="U30" s="4"/>
      <c r="V30" s="4"/>
    </row>
    <row r="31" spans="2:22" ht="15" x14ac:dyDescent="0.25">
      <c r="B31" s="62" t="s">
        <v>3</v>
      </c>
      <c r="C31" s="81"/>
      <c r="D31" s="71">
        <v>12000</v>
      </c>
      <c r="E31" s="71">
        <v>12000</v>
      </c>
      <c r="F31" s="72">
        <v>12000</v>
      </c>
      <c r="G31" s="4"/>
      <c r="J31" s="2"/>
      <c r="K31" s="2"/>
      <c r="L31" s="2"/>
      <c r="M31" s="2"/>
      <c r="N31" s="2"/>
      <c r="O31" s="2"/>
      <c r="U31" s="4"/>
      <c r="V31" s="4"/>
    </row>
    <row r="32" spans="2:22" s="2" customFormat="1" ht="15" x14ac:dyDescent="0.25">
      <c r="B32" s="63" t="s">
        <v>25</v>
      </c>
      <c r="C32" s="94"/>
      <c r="D32" s="64">
        <f>SUM(D29:D31)</f>
        <v>-3000</v>
      </c>
      <c r="E32" s="64">
        <f>SUM(E29:E31)</f>
        <v>-3000</v>
      </c>
      <c r="F32" s="65">
        <f>SUM(F29:F31)</f>
        <v>-3000</v>
      </c>
      <c r="G32" s="4">
        <f>SUM(C32:F32)</f>
        <v>-9000</v>
      </c>
      <c r="J32"/>
      <c r="K32"/>
      <c r="L32"/>
      <c r="M32"/>
      <c r="N32"/>
      <c r="O32"/>
      <c r="U32" s="6"/>
      <c r="V32" s="6"/>
    </row>
    <row r="33" spans="2:7" ht="15" x14ac:dyDescent="0.25">
      <c r="B33" s="76" t="s">
        <v>27</v>
      </c>
      <c r="C33" s="81"/>
      <c r="D33" s="77">
        <f>D32</f>
        <v>-3000</v>
      </c>
      <c r="E33" s="77">
        <f>E32</f>
        <v>-3000</v>
      </c>
      <c r="F33" s="78">
        <f>F32</f>
        <v>-3000</v>
      </c>
      <c r="G33" s="4"/>
    </row>
    <row r="34" spans="2:7" ht="15.75" thickBot="1" x14ac:dyDescent="0.3">
      <c r="B34" s="86" t="s">
        <v>109</v>
      </c>
      <c r="C34" s="87"/>
      <c r="D34" s="88">
        <f>D33/D29</f>
        <v>0.12</v>
      </c>
      <c r="E34" s="88">
        <f>E33/E29</f>
        <v>0.12</v>
      </c>
      <c r="F34" s="89">
        <f>F33/F29</f>
        <v>0.12</v>
      </c>
      <c r="G34" s="4"/>
    </row>
    <row r="35" spans="2:7" x14ac:dyDescent="0.2">
      <c r="G35" s="8"/>
    </row>
    <row r="36" spans="2:7" x14ac:dyDescent="0.2">
      <c r="B36" t="s">
        <v>15</v>
      </c>
      <c r="C36" s="4">
        <f>C9-C4</f>
        <v>0</v>
      </c>
      <c r="D36" s="4">
        <f>D9-D4</f>
        <v>0</v>
      </c>
      <c r="E36" s="4">
        <f>E9-E4</f>
        <v>0</v>
      </c>
      <c r="F36" s="4">
        <f>F9-F4</f>
        <v>0</v>
      </c>
    </row>
    <row r="37" spans="2:7" x14ac:dyDescent="0.2">
      <c r="B37" t="s">
        <v>28</v>
      </c>
      <c r="D37" s="4">
        <f>(C15-D15)+(C12-D12)+D22</f>
        <v>0</v>
      </c>
      <c r="E37" s="4">
        <f>(D15-E15)+(D12-E12)+E22</f>
        <v>0</v>
      </c>
      <c r="F37" s="4">
        <f>(E15-F15)+(E12-F12)+F22</f>
        <v>0</v>
      </c>
      <c r="G37" s="4"/>
    </row>
    <row r="38" spans="2:7" x14ac:dyDescent="0.2">
      <c r="G38" s="4"/>
    </row>
  </sheetData>
  <mergeCells count="1">
    <mergeCell ref="C2:F2"/>
  </mergeCells>
  <pageMargins left="0.7" right="0.7" top="0.75" bottom="0.75" header="0.3" footer="0.3"/>
  <pageSetup orientation="portrait" r:id="rId1"/>
  <ignoredErrors>
    <ignoredError sqref="F1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8"/>
  <sheetViews>
    <sheetView zoomScale="90" zoomScaleNormal="90" workbookViewId="0">
      <selection activeCell="I2" sqref="I2"/>
    </sheetView>
  </sheetViews>
  <sheetFormatPr defaultRowHeight="14.25" x14ac:dyDescent="0.2"/>
  <cols>
    <col min="3" max="3" width="11.375" customWidth="1"/>
    <col min="5" max="5" width="1.25" customWidth="1"/>
    <col min="8" max="8" width="16" customWidth="1"/>
    <col min="10" max="10" width="4.125" customWidth="1"/>
    <col min="12" max="12" width="21.625" bestFit="1" customWidth="1"/>
    <col min="13" max="13" width="46" bestFit="1" customWidth="1"/>
    <col min="14" max="14" width="26.875" customWidth="1"/>
    <col min="17" max="17" width="13.875" bestFit="1" customWidth="1"/>
  </cols>
  <sheetData>
    <row r="1" spans="1:17" x14ac:dyDescent="0.2">
      <c r="D1" s="9" t="s">
        <v>0</v>
      </c>
    </row>
    <row r="2" spans="1:17" ht="15" x14ac:dyDescent="0.25">
      <c r="D2" s="10" t="s">
        <v>1</v>
      </c>
      <c r="K2" s="2" t="s">
        <v>32</v>
      </c>
      <c r="L2" s="2" t="s">
        <v>31</v>
      </c>
      <c r="M2" s="2" t="s">
        <v>30</v>
      </c>
      <c r="N2" s="2" t="s">
        <v>36</v>
      </c>
      <c r="O2" s="2" t="s">
        <v>34</v>
      </c>
      <c r="P2" s="2" t="s">
        <v>35</v>
      </c>
    </row>
    <row r="3" spans="1:17" x14ac:dyDescent="0.2">
      <c r="D3" s="12" t="s">
        <v>37</v>
      </c>
      <c r="K3" s="15" t="s">
        <v>112</v>
      </c>
      <c r="L3" s="25" t="s">
        <v>33</v>
      </c>
      <c r="M3" s="15" t="s">
        <v>29</v>
      </c>
      <c r="N3" s="15" t="s">
        <v>17</v>
      </c>
      <c r="O3" s="24">
        <v>40000</v>
      </c>
      <c r="P3" s="24"/>
    </row>
    <row r="4" spans="1:17" x14ac:dyDescent="0.2">
      <c r="D4" s="14" t="s">
        <v>2</v>
      </c>
      <c r="K4" s="15" t="s">
        <v>112</v>
      </c>
      <c r="L4" s="15" t="s">
        <v>33</v>
      </c>
      <c r="M4" s="15" t="s">
        <v>29</v>
      </c>
      <c r="N4" s="15" t="s">
        <v>38</v>
      </c>
      <c r="O4" s="24">
        <v>30000</v>
      </c>
      <c r="P4" s="24"/>
    </row>
    <row r="5" spans="1:17" ht="15" thickBot="1" x14ac:dyDescent="0.25">
      <c r="K5" s="15" t="s">
        <v>112</v>
      </c>
      <c r="L5" s="25" t="s">
        <v>33</v>
      </c>
      <c r="M5" s="15" t="s">
        <v>29</v>
      </c>
      <c r="N5" s="15" t="s">
        <v>23</v>
      </c>
      <c r="O5" s="24"/>
      <c r="P5" s="24">
        <v>70000</v>
      </c>
    </row>
    <row r="6" spans="1:17" ht="15" thickBot="1" x14ac:dyDescent="0.25">
      <c r="B6" s="99" t="s">
        <v>17</v>
      </c>
      <c r="C6" s="100"/>
      <c r="G6" s="99" t="s">
        <v>38</v>
      </c>
      <c r="H6" s="100"/>
      <c r="K6" s="13" t="s">
        <v>112</v>
      </c>
      <c r="L6" s="13" t="s">
        <v>40</v>
      </c>
      <c r="M6" s="13" t="s">
        <v>41</v>
      </c>
      <c r="N6" s="13" t="s">
        <v>4</v>
      </c>
      <c r="O6" s="26">
        <f>DadosIFRS16_IBEF!J8</f>
        <v>29842.22389181066</v>
      </c>
      <c r="P6" s="13"/>
    </row>
    <row r="7" spans="1:17" x14ac:dyDescent="0.2">
      <c r="A7" s="23" t="s">
        <v>39</v>
      </c>
      <c r="B7" s="24">
        <f>O3</f>
        <v>40000</v>
      </c>
      <c r="C7" s="18"/>
      <c r="F7" s="23" t="s">
        <v>39</v>
      </c>
      <c r="G7" s="24">
        <f>O4</f>
        <v>30000</v>
      </c>
      <c r="H7" s="18"/>
      <c r="K7" s="13" t="s">
        <v>112</v>
      </c>
      <c r="L7" s="13" t="s">
        <v>40</v>
      </c>
      <c r="M7" s="13" t="s">
        <v>41</v>
      </c>
      <c r="N7" s="13" t="s">
        <v>43</v>
      </c>
      <c r="O7" s="26"/>
      <c r="P7" s="26">
        <v>12000</v>
      </c>
    </row>
    <row r="8" spans="1:17" ht="15" x14ac:dyDescent="0.25">
      <c r="A8" s="2" t="s">
        <v>113</v>
      </c>
      <c r="B8" s="32">
        <f>B7</f>
        <v>40000</v>
      </c>
      <c r="C8" s="19"/>
      <c r="F8" s="2" t="s">
        <v>113</v>
      </c>
      <c r="G8" s="32">
        <f>G7</f>
        <v>30000</v>
      </c>
      <c r="H8" s="19"/>
      <c r="K8" s="13" t="s">
        <v>112</v>
      </c>
      <c r="L8" s="13" t="s">
        <v>40</v>
      </c>
      <c r="M8" s="13" t="s">
        <v>41</v>
      </c>
      <c r="N8" s="13" t="s">
        <v>44</v>
      </c>
      <c r="O8" s="26"/>
      <c r="P8" s="26">
        <v>24000</v>
      </c>
    </row>
    <row r="9" spans="1:17" x14ac:dyDescent="0.2">
      <c r="A9" s="23" t="s">
        <v>54</v>
      </c>
      <c r="B9" s="24">
        <f>O11</f>
        <v>25000</v>
      </c>
      <c r="C9" s="35">
        <f>P15</f>
        <v>12000</v>
      </c>
      <c r="D9" s="29" t="s">
        <v>57</v>
      </c>
      <c r="G9" s="17"/>
      <c r="H9" s="33">
        <f>P14</f>
        <v>10000</v>
      </c>
      <c r="I9" s="22" t="s">
        <v>54</v>
      </c>
      <c r="K9" s="13" t="s">
        <v>112</v>
      </c>
      <c r="L9" s="13" t="s">
        <v>40</v>
      </c>
      <c r="M9" s="13" t="s">
        <v>41</v>
      </c>
      <c r="N9" s="13" t="s">
        <v>45</v>
      </c>
      <c r="O9" s="26">
        <f>DadosIFRS16_IBEF!C12*-1</f>
        <v>2984.2223891810663</v>
      </c>
      <c r="P9" s="26"/>
      <c r="Q9" t="s">
        <v>46</v>
      </c>
    </row>
    <row r="10" spans="1:17" ht="15" x14ac:dyDescent="0.25">
      <c r="A10" s="34" t="s">
        <v>114</v>
      </c>
      <c r="B10" s="6">
        <f>B8+B9-C9</f>
        <v>53000</v>
      </c>
      <c r="C10" s="19"/>
      <c r="F10" s="36" t="s">
        <v>114</v>
      </c>
      <c r="G10" s="6">
        <f>G8-H9</f>
        <v>20000</v>
      </c>
      <c r="H10" s="19"/>
      <c r="K10" s="13" t="s">
        <v>112</v>
      </c>
      <c r="L10" s="13" t="s">
        <v>40</v>
      </c>
      <c r="M10" s="13" t="s">
        <v>41</v>
      </c>
      <c r="N10" s="13" t="s">
        <v>47</v>
      </c>
      <c r="O10" s="26">
        <f>DadosIFRS16_IBEF!C15*-1</f>
        <v>3173.5537190082632</v>
      </c>
      <c r="P10" s="26"/>
    </row>
    <row r="11" spans="1:17" x14ac:dyDescent="0.2">
      <c r="A11" s="27" t="s">
        <v>83</v>
      </c>
      <c r="B11" s="40">
        <f>O28</f>
        <v>25000</v>
      </c>
      <c r="C11" s="33">
        <f>P32</f>
        <v>12000</v>
      </c>
      <c r="D11" s="22" t="s">
        <v>85</v>
      </c>
      <c r="H11" s="35">
        <f>P31</f>
        <v>10000</v>
      </c>
      <c r="I11" s="29" t="s">
        <v>83</v>
      </c>
      <c r="K11" s="15" t="s">
        <v>115</v>
      </c>
      <c r="L11" s="25" t="s">
        <v>48</v>
      </c>
      <c r="M11" s="15" t="s">
        <v>49</v>
      </c>
      <c r="N11" s="15" t="s">
        <v>17</v>
      </c>
      <c r="O11" s="24">
        <v>25000</v>
      </c>
      <c r="P11" s="24"/>
    </row>
    <row r="12" spans="1:17" ht="15" x14ac:dyDescent="0.25">
      <c r="A12" s="34" t="s">
        <v>117</v>
      </c>
      <c r="B12" s="43">
        <f>B10+B11-C11</f>
        <v>66000</v>
      </c>
      <c r="F12" s="36" t="s">
        <v>117</v>
      </c>
      <c r="G12" s="43">
        <f>G10-H11</f>
        <v>10000</v>
      </c>
      <c r="K12" s="15" t="s">
        <v>115</v>
      </c>
      <c r="L12" s="25" t="s">
        <v>48</v>
      </c>
      <c r="M12" s="15" t="s">
        <v>51</v>
      </c>
      <c r="N12" s="15" t="s">
        <v>50</v>
      </c>
      <c r="O12" s="24"/>
      <c r="P12" s="24">
        <v>25000</v>
      </c>
    </row>
    <row r="13" spans="1:17" ht="15" x14ac:dyDescent="0.25">
      <c r="A13" s="23" t="s">
        <v>96</v>
      </c>
      <c r="B13" s="41">
        <f>O45</f>
        <v>25000</v>
      </c>
      <c r="C13" s="35">
        <f>P49</f>
        <v>12000</v>
      </c>
      <c r="D13" s="29" t="s">
        <v>97</v>
      </c>
      <c r="F13" s="36"/>
      <c r="G13" s="42"/>
      <c r="H13" s="33">
        <f>P48</f>
        <v>10000</v>
      </c>
      <c r="I13" s="22" t="s">
        <v>96</v>
      </c>
      <c r="K13" s="15" t="s">
        <v>115</v>
      </c>
      <c r="L13" s="25" t="s">
        <v>48</v>
      </c>
      <c r="M13" s="15" t="s">
        <v>52</v>
      </c>
      <c r="N13" s="15" t="s">
        <v>22</v>
      </c>
      <c r="O13" s="24">
        <v>10000</v>
      </c>
      <c r="P13" s="24"/>
    </row>
    <row r="14" spans="1:17" ht="15" x14ac:dyDescent="0.25">
      <c r="A14" s="34" t="s">
        <v>120</v>
      </c>
      <c r="B14" s="43">
        <f>B12+B13-C13</f>
        <v>79000</v>
      </c>
      <c r="F14" s="36" t="s">
        <v>120</v>
      </c>
      <c r="G14" s="43">
        <f>G12-H13</f>
        <v>0</v>
      </c>
      <c r="K14" s="15" t="s">
        <v>115</v>
      </c>
      <c r="L14" s="25" t="s">
        <v>48</v>
      </c>
      <c r="M14" s="15" t="s">
        <v>53</v>
      </c>
      <c r="N14" s="15" t="s">
        <v>38</v>
      </c>
      <c r="O14" s="24"/>
      <c r="P14" s="24">
        <v>10000</v>
      </c>
    </row>
    <row r="15" spans="1:17" ht="15.75" thickBot="1" x14ac:dyDescent="0.3">
      <c r="F15" s="36"/>
      <c r="K15" s="13" t="s">
        <v>115</v>
      </c>
      <c r="L15" s="29" t="s">
        <v>55</v>
      </c>
      <c r="M15" s="13" t="s">
        <v>56</v>
      </c>
      <c r="N15" s="13" t="s">
        <v>17</v>
      </c>
      <c r="O15" s="26"/>
      <c r="P15" s="26">
        <v>12000</v>
      </c>
    </row>
    <row r="16" spans="1:17" ht="15.75" thickBot="1" x14ac:dyDescent="0.3">
      <c r="B16" s="99" t="s">
        <v>11</v>
      </c>
      <c r="C16" s="100"/>
      <c r="F16" s="36"/>
      <c r="G16" s="99" t="s">
        <v>12</v>
      </c>
      <c r="H16" s="100"/>
      <c r="K16" s="13" t="s">
        <v>115</v>
      </c>
      <c r="L16" s="29" t="s">
        <v>55</v>
      </c>
      <c r="M16" s="13" t="s">
        <v>56</v>
      </c>
      <c r="N16" s="13" t="s">
        <v>43</v>
      </c>
      <c r="O16" s="26">
        <v>12000</v>
      </c>
      <c r="P16" s="26"/>
    </row>
    <row r="17" spans="1:16" x14ac:dyDescent="0.2">
      <c r="A17" s="27" t="s">
        <v>42</v>
      </c>
      <c r="B17" s="26">
        <f>O6</f>
        <v>29842.22389181066</v>
      </c>
      <c r="C17" s="18"/>
      <c r="G17" s="17"/>
      <c r="H17" s="28">
        <f>P24</f>
        <v>9947.4079639368865</v>
      </c>
      <c r="I17" s="29" t="s">
        <v>70</v>
      </c>
      <c r="K17" s="15" t="s">
        <v>115</v>
      </c>
      <c r="L17" s="25" t="s">
        <v>58</v>
      </c>
      <c r="M17" s="15" t="s">
        <v>59</v>
      </c>
      <c r="N17" s="15" t="s">
        <v>44</v>
      </c>
      <c r="O17" s="24">
        <v>12000</v>
      </c>
      <c r="P17" s="24"/>
    </row>
    <row r="18" spans="1:16" ht="15" x14ac:dyDescent="0.25">
      <c r="A18" s="34" t="s">
        <v>114</v>
      </c>
      <c r="B18" s="6">
        <f>B17</f>
        <v>29842.22389181066</v>
      </c>
      <c r="C18" s="19"/>
      <c r="F18" s="16"/>
      <c r="G18" s="17"/>
      <c r="H18" s="34" t="s">
        <v>114</v>
      </c>
      <c r="I18" s="6">
        <f>H17</f>
        <v>9947.4079639368865</v>
      </c>
      <c r="K18" s="15" t="s">
        <v>115</v>
      </c>
      <c r="L18" s="25" t="s">
        <v>58</v>
      </c>
      <c r="M18" s="15" t="s">
        <v>59</v>
      </c>
      <c r="N18" s="15" t="s">
        <v>43</v>
      </c>
      <c r="O18" s="24"/>
      <c r="P18" s="24">
        <v>12000</v>
      </c>
    </row>
    <row r="19" spans="1:16" ht="15" x14ac:dyDescent="0.25">
      <c r="A19" s="34" t="s">
        <v>117</v>
      </c>
      <c r="B19" s="6">
        <f>B18</f>
        <v>29842.22389181066</v>
      </c>
      <c r="C19" s="19"/>
      <c r="G19" s="17"/>
      <c r="H19" s="33">
        <f>P41</f>
        <v>9947.4079639368865</v>
      </c>
      <c r="I19" s="22" t="s">
        <v>89</v>
      </c>
      <c r="K19" s="13" t="s">
        <v>115</v>
      </c>
      <c r="L19" s="29" t="s">
        <v>61</v>
      </c>
      <c r="M19" s="13" t="s">
        <v>63</v>
      </c>
      <c r="N19" s="13" t="s">
        <v>16</v>
      </c>
      <c r="O19" s="26">
        <f>DadosIFRS16_IBEF!M5</f>
        <v>2984.2223891810663</v>
      </c>
      <c r="P19" s="26"/>
    </row>
    <row r="20" spans="1:16" ht="15" x14ac:dyDescent="0.25">
      <c r="A20" s="34" t="s">
        <v>120</v>
      </c>
      <c r="B20" s="6">
        <f>B19</f>
        <v>29842.22389181066</v>
      </c>
      <c r="C20" s="19"/>
      <c r="G20" s="17"/>
      <c r="H20" s="34" t="s">
        <v>117</v>
      </c>
      <c r="I20" s="6">
        <f>H19+I18</f>
        <v>19894.815927873773</v>
      </c>
      <c r="K20" s="13" t="s">
        <v>115</v>
      </c>
      <c r="L20" s="29" t="s">
        <v>61</v>
      </c>
      <c r="M20" s="13" t="s">
        <v>63</v>
      </c>
      <c r="N20" s="13" t="s">
        <v>45</v>
      </c>
      <c r="O20" s="26"/>
      <c r="P20" s="26">
        <f>O19</f>
        <v>2984.2223891810663</v>
      </c>
    </row>
    <row r="21" spans="1:16" x14ac:dyDescent="0.2">
      <c r="H21" s="35">
        <f>P54</f>
        <v>9947.4079639368865</v>
      </c>
      <c r="I21" s="29" t="s">
        <v>100</v>
      </c>
      <c r="K21" s="15" t="s">
        <v>115</v>
      </c>
      <c r="L21" s="25" t="s">
        <v>64</v>
      </c>
      <c r="M21" s="15" t="s">
        <v>65</v>
      </c>
      <c r="N21" s="15" t="s">
        <v>45</v>
      </c>
      <c r="O21" s="24">
        <f>DadosIFRS16_IBEF!M6</f>
        <v>2082.6446280991727</v>
      </c>
      <c r="P21" s="24"/>
    </row>
    <row r="22" spans="1:16" ht="15" x14ac:dyDescent="0.25">
      <c r="H22" s="34" t="s">
        <v>120</v>
      </c>
      <c r="I22" s="6">
        <f>H21+I20</f>
        <v>29842.22389181066</v>
      </c>
      <c r="K22" s="15" t="s">
        <v>115</v>
      </c>
      <c r="L22" s="25" t="s">
        <v>64</v>
      </c>
      <c r="M22" s="15" t="s">
        <v>65</v>
      </c>
      <c r="N22" s="15" t="s">
        <v>47</v>
      </c>
      <c r="O22" s="24"/>
      <c r="P22" s="24">
        <f>O21</f>
        <v>2082.6446280991727</v>
      </c>
    </row>
    <row r="23" spans="1:16" ht="15" thickBot="1" x14ac:dyDescent="0.25">
      <c r="K23" s="13" t="s">
        <v>115</v>
      </c>
      <c r="L23" s="29" t="s">
        <v>67</v>
      </c>
      <c r="M23" s="13" t="s">
        <v>68</v>
      </c>
      <c r="N23" s="13"/>
      <c r="O23" s="26">
        <f>DadosIFRS16_IBEF!D23</f>
        <v>9947.4079639368865</v>
      </c>
      <c r="P23" s="26"/>
    </row>
    <row r="24" spans="1:16" ht="15" thickBot="1" x14ac:dyDescent="0.25">
      <c r="B24" s="103" t="s">
        <v>45</v>
      </c>
      <c r="C24" s="104"/>
      <c r="G24" s="103" t="s">
        <v>43</v>
      </c>
      <c r="H24" s="104"/>
      <c r="K24" s="13" t="s">
        <v>115</v>
      </c>
      <c r="L24" s="29" t="s">
        <v>67</v>
      </c>
      <c r="M24" s="13" t="s">
        <v>69</v>
      </c>
      <c r="N24" s="13"/>
      <c r="O24" s="26"/>
      <c r="P24" s="26">
        <f>O23</f>
        <v>9947.4079639368865</v>
      </c>
    </row>
    <row r="25" spans="1:16" x14ac:dyDescent="0.2">
      <c r="A25" s="27" t="s">
        <v>42</v>
      </c>
      <c r="B25" s="26">
        <f>O9</f>
        <v>2984.2223891810663</v>
      </c>
      <c r="C25" s="19"/>
      <c r="G25" s="4"/>
      <c r="H25" s="28">
        <f>P7</f>
        <v>12000</v>
      </c>
      <c r="I25" s="29" t="s">
        <v>42</v>
      </c>
      <c r="K25" s="15" t="s">
        <v>115</v>
      </c>
      <c r="L25" s="25" t="s">
        <v>72</v>
      </c>
      <c r="M25" s="15" t="s">
        <v>73</v>
      </c>
      <c r="N25" s="15" t="s">
        <v>75</v>
      </c>
      <c r="O25" s="24">
        <f>A65</f>
        <v>2068.369646882049</v>
      </c>
      <c r="P25" s="24"/>
    </row>
    <row r="26" spans="1:16" ht="15" x14ac:dyDescent="0.25">
      <c r="A26" s="2" t="s">
        <v>113</v>
      </c>
      <c r="B26" s="32">
        <f>B25</f>
        <v>2984.2223891810663</v>
      </c>
      <c r="C26" s="19"/>
      <c r="H26" s="34" t="s">
        <v>113</v>
      </c>
      <c r="I26" s="6">
        <f>H25</f>
        <v>12000</v>
      </c>
      <c r="K26" s="15" t="s">
        <v>115</v>
      </c>
      <c r="L26" s="25" t="s">
        <v>72</v>
      </c>
      <c r="M26" s="15" t="s">
        <v>74</v>
      </c>
      <c r="N26" s="15" t="s">
        <v>20</v>
      </c>
      <c r="O26" s="24"/>
      <c r="P26" s="24">
        <f>O25</f>
        <v>2068.369646882049</v>
      </c>
    </row>
    <row r="27" spans="1:16" x14ac:dyDescent="0.2">
      <c r="A27" s="23" t="s">
        <v>66</v>
      </c>
      <c r="B27" s="24">
        <f>O21</f>
        <v>2082.6446280991727</v>
      </c>
      <c r="C27" s="35">
        <f>P20</f>
        <v>2984.2223891810663</v>
      </c>
      <c r="D27" s="29" t="s">
        <v>62</v>
      </c>
      <c r="F27" s="27" t="s">
        <v>57</v>
      </c>
      <c r="G27" s="26">
        <f>O16</f>
        <v>12000</v>
      </c>
      <c r="H27" s="33">
        <f>P18</f>
        <v>12000</v>
      </c>
      <c r="I27" s="22" t="s">
        <v>60</v>
      </c>
    </row>
    <row r="28" spans="1:16" ht="15" x14ac:dyDescent="0.25">
      <c r="A28" s="34" t="s">
        <v>114</v>
      </c>
      <c r="B28" s="6">
        <f>B26-C27+B27</f>
        <v>2082.6446280991727</v>
      </c>
      <c r="C28" s="19"/>
      <c r="G28" s="17"/>
      <c r="H28" s="34" t="s">
        <v>114</v>
      </c>
      <c r="I28" s="6">
        <f>I26-G27+H27</f>
        <v>12000</v>
      </c>
      <c r="K28" s="13" t="s">
        <v>118</v>
      </c>
      <c r="L28" s="29" t="s">
        <v>76</v>
      </c>
      <c r="M28" s="13" t="s">
        <v>49</v>
      </c>
      <c r="N28" s="13" t="s">
        <v>17</v>
      </c>
      <c r="O28" s="26">
        <v>25000</v>
      </c>
      <c r="P28" s="26"/>
    </row>
    <row r="29" spans="1:16" x14ac:dyDescent="0.2">
      <c r="A29" s="27" t="s">
        <v>88</v>
      </c>
      <c r="B29" s="26">
        <f>O38</f>
        <v>1090.9090909090899</v>
      </c>
      <c r="C29" s="33">
        <f>P37</f>
        <v>2082.6446280991727</v>
      </c>
      <c r="D29" s="22" t="s">
        <v>87</v>
      </c>
      <c r="F29" s="23" t="s">
        <v>85</v>
      </c>
      <c r="G29" s="41">
        <f>O33</f>
        <v>12000</v>
      </c>
      <c r="H29" s="35">
        <f>P35</f>
        <v>12000</v>
      </c>
      <c r="I29" s="29" t="s">
        <v>86</v>
      </c>
      <c r="K29" s="13" t="s">
        <v>118</v>
      </c>
      <c r="L29" s="29" t="s">
        <v>76</v>
      </c>
      <c r="M29" s="13" t="s">
        <v>51</v>
      </c>
      <c r="N29" s="13" t="s">
        <v>50</v>
      </c>
      <c r="O29" s="26"/>
      <c r="P29" s="26">
        <v>25000</v>
      </c>
    </row>
    <row r="30" spans="1:16" ht="15" x14ac:dyDescent="0.25">
      <c r="A30" s="34" t="s">
        <v>117</v>
      </c>
      <c r="B30" s="43">
        <f>B28+B29-C29</f>
        <v>1090.9090909090896</v>
      </c>
      <c r="H30" s="34" t="s">
        <v>117</v>
      </c>
      <c r="I30" s="6">
        <f>I28+H29-G29</f>
        <v>12000</v>
      </c>
      <c r="K30" s="13" t="s">
        <v>118</v>
      </c>
      <c r="L30" s="29" t="s">
        <v>76</v>
      </c>
      <c r="M30" s="13" t="s">
        <v>52</v>
      </c>
      <c r="N30" s="13" t="s">
        <v>22</v>
      </c>
      <c r="O30" s="26">
        <v>10000</v>
      </c>
      <c r="P30" s="26"/>
    </row>
    <row r="31" spans="1:16" x14ac:dyDescent="0.2">
      <c r="C31" s="33">
        <f>P52</f>
        <v>1090.9090909090899</v>
      </c>
      <c r="D31" s="22" t="s">
        <v>99</v>
      </c>
      <c r="F31" s="27" t="s">
        <v>97</v>
      </c>
      <c r="G31" s="40">
        <f>O50</f>
        <v>12000</v>
      </c>
      <c r="K31" s="13" t="s">
        <v>118</v>
      </c>
      <c r="L31" s="29" t="s">
        <v>76</v>
      </c>
      <c r="M31" s="13" t="s">
        <v>53</v>
      </c>
      <c r="N31" s="13" t="s">
        <v>38</v>
      </c>
      <c r="O31" s="26"/>
      <c r="P31" s="26">
        <v>10000</v>
      </c>
    </row>
    <row r="32" spans="1:16" ht="15" x14ac:dyDescent="0.25">
      <c r="A32" s="34" t="s">
        <v>120</v>
      </c>
      <c r="B32" s="43">
        <f>B30-C31</f>
        <v>0</v>
      </c>
      <c r="H32" s="34" t="s">
        <v>120</v>
      </c>
      <c r="I32" s="6">
        <f>I30-G31</f>
        <v>0</v>
      </c>
      <c r="K32" s="15" t="s">
        <v>118</v>
      </c>
      <c r="L32" s="25" t="s">
        <v>77</v>
      </c>
      <c r="M32" s="15" t="s">
        <v>84</v>
      </c>
      <c r="N32" s="15" t="s">
        <v>17</v>
      </c>
      <c r="O32" s="24"/>
      <c r="P32" s="24">
        <v>12000</v>
      </c>
    </row>
    <row r="33" spans="1:16" ht="15" thickBot="1" x14ac:dyDescent="0.25">
      <c r="K33" s="15" t="s">
        <v>118</v>
      </c>
      <c r="L33" s="25" t="s">
        <v>77</v>
      </c>
      <c r="M33" s="15" t="s">
        <v>84</v>
      </c>
      <c r="N33" s="15" t="s">
        <v>43</v>
      </c>
      <c r="O33" s="24">
        <v>12000</v>
      </c>
      <c r="P33" s="24"/>
    </row>
    <row r="34" spans="1:16" ht="15" thickBot="1" x14ac:dyDescent="0.25">
      <c r="B34" s="44" t="s">
        <v>47</v>
      </c>
      <c r="C34" s="45"/>
      <c r="G34" s="103" t="s">
        <v>44</v>
      </c>
      <c r="H34" s="104"/>
      <c r="K34" s="13" t="s">
        <v>118</v>
      </c>
      <c r="L34" s="29" t="s">
        <v>78</v>
      </c>
      <c r="M34" s="13" t="s">
        <v>59</v>
      </c>
      <c r="N34" s="13" t="s">
        <v>44</v>
      </c>
      <c r="O34" s="26">
        <v>12000</v>
      </c>
      <c r="P34" s="26"/>
    </row>
    <row r="35" spans="1:16" x14ac:dyDescent="0.2">
      <c r="A35" s="27" t="s">
        <v>42</v>
      </c>
      <c r="B35" s="26">
        <f>O10</f>
        <v>3173.5537190082632</v>
      </c>
      <c r="C35" s="19"/>
      <c r="G35" s="4"/>
      <c r="H35" s="28">
        <f>P8</f>
        <v>24000</v>
      </c>
      <c r="I35" s="29" t="s">
        <v>42</v>
      </c>
      <c r="K35" s="13" t="s">
        <v>118</v>
      </c>
      <c r="L35" s="29" t="s">
        <v>78</v>
      </c>
      <c r="M35" s="13" t="s">
        <v>59</v>
      </c>
      <c r="N35" s="13" t="s">
        <v>43</v>
      </c>
      <c r="O35" s="26"/>
      <c r="P35" s="26">
        <v>12000</v>
      </c>
    </row>
    <row r="36" spans="1:16" ht="15" x14ac:dyDescent="0.25">
      <c r="A36" s="2" t="s">
        <v>113</v>
      </c>
      <c r="B36" s="32">
        <f>B35</f>
        <v>3173.5537190082632</v>
      </c>
      <c r="C36" s="19"/>
      <c r="H36" s="34" t="s">
        <v>113</v>
      </c>
      <c r="I36" s="6">
        <f>H35</f>
        <v>24000</v>
      </c>
      <c r="K36" s="15" t="s">
        <v>118</v>
      </c>
      <c r="L36" s="25" t="s">
        <v>79</v>
      </c>
      <c r="M36" s="15" t="s">
        <v>63</v>
      </c>
      <c r="N36" s="15" t="s">
        <v>16</v>
      </c>
      <c r="O36" s="24">
        <f>DadosIFRS16_IBEF!E22</f>
        <v>2082.6446280991727</v>
      </c>
      <c r="P36" s="24"/>
    </row>
    <row r="37" spans="1:16" x14ac:dyDescent="0.2">
      <c r="B37" s="17"/>
      <c r="C37" s="33">
        <f>P22</f>
        <v>2082.6446280991727</v>
      </c>
      <c r="D37" s="22" t="s">
        <v>66</v>
      </c>
      <c r="F37" s="23" t="s">
        <v>60</v>
      </c>
      <c r="G37" s="24">
        <f>O17</f>
        <v>12000</v>
      </c>
      <c r="H37" s="19"/>
      <c r="K37" s="15" t="s">
        <v>118</v>
      </c>
      <c r="L37" s="25" t="s">
        <v>79</v>
      </c>
      <c r="M37" s="15" t="s">
        <v>63</v>
      </c>
      <c r="N37" s="15" t="s">
        <v>45</v>
      </c>
      <c r="O37" s="24"/>
      <c r="P37" s="24">
        <f>O36</f>
        <v>2082.6446280991727</v>
      </c>
    </row>
    <row r="38" spans="1:16" ht="15" x14ac:dyDescent="0.25">
      <c r="A38" s="34" t="s">
        <v>114</v>
      </c>
      <c r="B38" s="6">
        <f>B36-C37</f>
        <v>1090.9090909090905</v>
      </c>
      <c r="C38" s="19"/>
      <c r="G38" s="17"/>
      <c r="H38" s="34" t="s">
        <v>114</v>
      </c>
      <c r="I38" s="6">
        <f>I36-G37</f>
        <v>12000</v>
      </c>
      <c r="K38" s="13" t="s">
        <v>118</v>
      </c>
      <c r="L38" s="29" t="s">
        <v>80</v>
      </c>
      <c r="M38" s="13" t="s">
        <v>65</v>
      </c>
      <c r="N38" s="13" t="s">
        <v>45</v>
      </c>
      <c r="O38" s="26">
        <f>DadosIFRS16_IBEF!M7</f>
        <v>1090.9090909090899</v>
      </c>
      <c r="P38" s="26"/>
    </row>
    <row r="39" spans="1:16" ht="15" x14ac:dyDescent="0.25">
      <c r="A39" s="36"/>
      <c r="B39" s="6"/>
      <c r="C39" s="35">
        <f>P39</f>
        <v>1090.9090909090899</v>
      </c>
      <c r="D39" s="29" t="s">
        <v>88</v>
      </c>
      <c r="F39" s="27" t="s">
        <v>86</v>
      </c>
      <c r="G39" s="26">
        <f>O34</f>
        <v>12000</v>
      </c>
      <c r="H39" s="34"/>
      <c r="I39" s="6"/>
      <c r="K39" s="13" t="s">
        <v>118</v>
      </c>
      <c r="L39" s="29" t="s">
        <v>80</v>
      </c>
      <c r="M39" s="13" t="s">
        <v>65</v>
      </c>
      <c r="N39" s="13" t="s">
        <v>47</v>
      </c>
      <c r="O39" s="26"/>
      <c r="P39" s="26">
        <f>O38</f>
        <v>1090.9090909090899</v>
      </c>
    </row>
    <row r="40" spans="1:16" ht="15" x14ac:dyDescent="0.25">
      <c r="A40" s="34" t="s">
        <v>117</v>
      </c>
      <c r="B40" s="43">
        <f>B38-C39</f>
        <v>0</v>
      </c>
      <c r="C40" s="42"/>
      <c r="G40" s="17"/>
      <c r="H40" s="34" t="s">
        <v>117</v>
      </c>
      <c r="I40" s="6">
        <f>I38-G39</f>
        <v>0</v>
      </c>
      <c r="K40" s="15" t="s">
        <v>118</v>
      </c>
      <c r="L40" s="25" t="s">
        <v>81</v>
      </c>
      <c r="M40" s="15" t="s">
        <v>68</v>
      </c>
      <c r="N40" s="15"/>
      <c r="O40" s="24">
        <f>DadosIFRS16_IBEF!E23</f>
        <v>9947.4079639368865</v>
      </c>
      <c r="P40" s="24"/>
    </row>
    <row r="41" spans="1:16" ht="15" x14ac:dyDescent="0.25">
      <c r="A41" s="34" t="s">
        <v>120</v>
      </c>
      <c r="B41" s="43">
        <f>B39-C40</f>
        <v>0</v>
      </c>
      <c r="C41" s="42"/>
      <c r="H41" s="34" t="s">
        <v>120</v>
      </c>
      <c r="I41" s="6">
        <f>I39-G40</f>
        <v>0</v>
      </c>
      <c r="K41" s="15" t="s">
        <v>118</v>
      </c>
      <c r="L41" s="25" t="s">
        <v>81</v>
      </c>
      <c r="M41" s="15" t="s">
        <v>69</v>
      </c>
      <c r="N41" s="15"/>
      <c r="O41" s="24"/>
      <c r="P41" s="24">
        <f>O40</f>
        <v>9947.4079639368865</v>
      </c>
    </row>
    <row r="42" spans="1:16" x14ac:dyDescent="0.2">
      <c r="K42" s="13" t="s">
        <v>118</v>
      </c>
      <c r="L42" s="29" t="s">
        <v>82</v>
      </c>
      <c r="M42" s="13" t="s">
        <v>73</v>
      </c>
      <c r="N42" s="13" t="s">
        <v>75</v>
      </c>
      <c r="O42" s="26">
        <f>A72</f>
        <v>2969.9474079639403</v>
      </c>
      <c r="P42" s="26"/>
    </row>
    <row r="43" spans="1:16" ht="15" thickBot="1" x14ac:dyDescent="0.25">
      <c r="K43" s="13" t="s">
        <v>118</v>
      </c>
      <c r="L43" s="29" t="s">
        <v>82</v>
      </c>
      <c r="M43" s="13" t="s">
        <v>74</v>
      </c>
      <c r="N43" s="13" t="s">
        <v>20</v>
      </c>
      <c r="O43" s="26"/>
      <c r="P43" s="26">
        <f>O42</f>
        <v>2969.9474079639403</v>
      </c>
    </row>
    <row r="44" spans="1:16" ht="15" thickBot="1" x14ac:dyDescent="0.25">
      <c r="B44" s="105" t="s">
        <v>16</v>
      </c>
      <c r="C44" s="106"/>
      <c r="G44" s="105" t="s">
        <v>50</v>
      </c>
      <c r="H44" s="106"/>
    </row>
    <row r="45" spans="1:16" x14ac:dyDescent="0.2">
      <c r="A45" s="27" t="s">
        <v>62</v>
      </c>
      <c r="B45" s="26">
        <f>O19</f>
        <v>2984.2223891810663</v>
      </c>
      <c r="C45" s="19"/>
      <c r="G45" s="4"/>
      <c r="H45" s="21">
        <f>P12</f>
        <v>25000</v>
      </c>
      <c r="I45" s="22" t="s">
        <v>54</v>
      </c>
      <c r="K45" s="15" t="s">
        <v>121</v>
      </c>
      <c r="L45" s="25" t="s">
        <v>91</v>
      </c>
      <c r="M45" s="15" t="s">
        <v>49</v>
      </c>
      <c r="N45" s="15" t="s">
        <v>17</v>
      </c>
      <c r="O45" s="24">
        <v>25000</v>
      </c>
      <c r="P45" s="24"/>
    </row>
    <row r="46" spans="1:16" ht="15" x14ac:dyDescent="0.25">
      <c r="A46" s="34" t="s">
        <v>114</v>
      </c>
      <c r="B46" s="6">
        <f>B45</f>
        <v>2984.2223891810663</v>
      </c>
      <c r="C46" s="19"/>
      <c r="G46" s="17"/>
      <c r="H46" s="34" t="s">
        <v>114</v>
      </c>
      <c r="I46" s="6">
        <f>H45</f>
        <v>25000</v>
      </c>
      <c r="K46" s="15" t="s">
        <v>121</v>
      </c>
      <c r="L46" s="25" t="s">
        <v>91</v>
      </c>
      <c r="M46" s="15" t="s">
        <v>51</v>
      </c>
      <c r="N46" s="15" t="s">
        <v>50</v>
      </c>
      <c r="O46" s="24"/>
      <c r="P46" s="24">
        <v>25000</v>
      </c>
    </row>
    <row r="47" spans="1:16" x14ac:dyDescent="0.2">
      <c r="A47" s="23" t="s">
        <v>87</v>
      </c>
      <c r="B47" s="24">
        <f>O36</f>
        <v>2082.6446280991727</v>
      </c>
      <c r="C47" s="19"/>
      <c r="G47" s="17"/>
      <c r="H47" s="35">
        <f>P29</f>
        <v>25000</v>
      </c>
      <c r="I47" s="29" t="s">
        <v>83</v>
      </c>
      <c r="K47" s="15" t="s">
        <v>121</v>
      </c>
      <c r="L47" s="25" t="s">
        <v>91</v>
      </c>
      <c r="M47" s="15" t="s">
        <v>52</v>
      </c>
      <c r="N47" s="15" t="s">
        <v>22</v>
      </c>
      <c r="O47" s="24">
        <v>10000</v>
      </c>
      <c r="P47" s="24"/>
    </row>
    <row r="48" spans="1:16" ht="15" x14ac:dyDescent="0.25">
      <c r="A48" s="34" t="s">
        <v>117</v>
      </c>
      <c r="B48" s="6">
        <f>B47</f>
        <v>2082.6446280991727</v>
      </c>
      <c r="C48" s="19"/>
      <c r="G48" s="17"/>
      <c r="H48" s="34" t="s">
        <v>117</v>
      </c>
      <c r="I48" s="6">
        <f>H47</f>
        <v>25000</v>
      </c>
      <c r="K48" s="15" t="s">
        <v>121</v>
      </c>
      <c r="L48" s="25" t="s">
        <v>91</v>
      </c>
      <c r="M48" s="15" t="s">
        <v>53</v>
      </c>
      <c r="N48" s="15" t="s">
        <v>38</v>
      </c>
      <c r="O48" s="24"/>
      <c r="P48" s="24">
        <v>10000</v>
      </c>
    </row>
    <row r="49" spans="1:16" x14ac:dyDescent="0.2">
      <c r="A49" s="23" t="s">
        <v>99</v>
      </c>
      <c r="B49" s="41">
        <f>O51</f>
        <v>1090.9090909090899</v>
      </c>
      <c r="C49" s="42"/>
      <c r="H49" s="33">
        <f>P46</f>
        <v>25000</v>
      </c>
      <c r="I49" s="22" t="s">
        <v>96</v>
      </c>
      <c r="K49" s="13" t="s">
        <v>121</v>
      </c>
      <c r="L49" s="29" t="s">
        <v>92</v>
      </c>
      <c r="M49" s="13" t="s">
        <v>98</v>
      </c>
      <c r="N49" s="13" t="s">
        <v>17</v>
      </c>
      <c r="O49" s="26"/>
      <c r="P49" s="26">
        <v>12000</v>
      </c>
    </row>
    <row r="50" spans="1:16" ht="15" x14ac:dyDescent="0.25">
      <c r="A50" s="34" t="s">
        <v>120</v>
      </c>
      <c r="B50" s="6">
        <f>B49</f>
        <v>1090.9090909090899</v>
      </c>
      <c r="H50" s="34" t="s">
        <v>120</v>
      </c>
      <c r="I50" s="6">
        <f>H49</f>
        <v>25000</v>
      </c>
      <c r="K50" s="13" t="s">
        <v>121</v>
      </c>
      <c r="L50" s="29" t="s">
        <v>92</v>
      </c>
      <c r="M50" s="13" t="s">
        <v>98</v>
      </c>
      <c r="N50" s="13" t="s">
        <v>43</v>
      </c>
      <c r="O50" s="26">
        <v>12000</v>
      </c>
      <c r="P50" s="26"/>
    </row>
    <row r="51" spans="1:16" ht="15" thickBot="1" x14ac:dyDescent="0.25">
      <c r="K51" s="15" t="s">
        <v>121</v>
      </c>
      <c r="L51" s="25" t="s">
        <v>93</v>
      </c>
      <c r="M51" s="15" t="s">
        <v>63</v>
      </c>
      <c r="N51" s="15" t="s">
        <v>16</v>
      </c>
      <c r="O51" s="24">
        <f>DadosIFRS16_IBEF!M7</f>
        <v>1090.9090909090899</v>
      </c>
      <c r="P51" s="24"/>
    </row>
    <row r="52" spans="1:16" ht="15" thickBot="1" x14ac:dyDescent="0.25">
      <c r="B52" s="105" t="s">
        <v>68</v>
      </c>
      <c r="C52" s="106"/>
      <c r="G52" s="105" t="s">
        <v>22</v>
      </c>
      <c r="H52" s="106"/>
      <c r="K52" s="15" t="s">
        <v>121</v>
      </c>
      <c r="L52" s="25" t="s">
        <v>93</v>
      </c>
      <c r="M52" s="15" t="s">
        <v>63</v>
      </c>
      <c r="N52" s="15" t="s">
        <v>45</v>
      </c>
      <c r="O52" s="24"/>
      <c r="P52" s="24">
        <f>O51</f>
        <v>1090.9090909090899</v>
      </c>
    </row>
    <row r="53" spans="1:16" x14ac:dyDescent="0.2">
      <c r="A53" s="27" t="s">
        <v>70</v>
      </c>
      <c r="B53" s="26">
        <f>O23</f>
        <v>9947.4079639368865</v>
      </c>
      <c r="C53" s="19"/>
      <c r="F53" s="23" t="s">
        <v>54</v>
      </c>
      <c r="G53" s="24">
        <f>O13</f>
        <v>10000</v>
      </c>
      <c r="H53" s="19"/>
      <c r="K53" s="13" t="s">
        <v>121</v>
      </c>
      <c r="L53" s="29" t="s">
        <v>94</v>
      </c>
      <c r="M53" s="13" t="s">
        <v>68</v>
      </c>
      <c r="N53" s="13"/>
      <c r="O53" s="26">
        <f>DadosIFRS16_IBEF!F23</f>
        <v>9947.4079639368865</v>
      </c>
      <c r="P53" s="26"/>
    </row>
    <row r="54" spans="1:16" ht="15" x14ac:dyDescent="0.25">
      <c r="A54" s="34" t="s">
        <v>114</v>
      </c>
      <c r="B54" s="6">
        <f>B53</f>
        <v>9947.4079639368865</v>
      </c>
      <c r="C54" s="19"/>
      <c r="F54" s="36" t="s">
        <v>114</v>
      </c>
      <c r="G54" s="6">
        <f>G53</f>
        <v>10000</v>
      </c>
      <c r="H54" s="19"/>
      <c r="K54" s="13" t="s">
        <v>121</v>
      </c>
      <c r="L54" s="29" t="s">
        <v>94</v>
      </c>
      <c r="M54" s="13" t="s">
        <v>69</v>
      </c>
      <c r="N54" s="13"/>
      <c r="O54" s="26"/>
      <c r="P54" s="26">
        <f>O53</f>
        <v>9947.4079639368865</v>
      </c>
    </row>
    <row r="55" spans="1:16" x14ac:dyDescent="0.2">
      <c r="A55" s="23" t="s">
        <v>89</v>
      </c>
      <c r="B55" s="24">
        <f>O40</f>
        <v>9947.4079639368865</v>
      </c>
      <c r="C55" s="19"/>
      <c r="F55" s="27" t="s">
        <v>83</v>
      </c>
      <c r="G55" s="26">
        <f>O30</f>
        <v>10000</v>
      </c>
      <c r="H55" s="19"/>
      <c r="K55" s="15" t="s">
        <v>121</v>
      </c>
      <c r="L55" s="25" t="s">
        <v>95</v>
      </c>
      <c r="M55" s="15" t="s">
        <v>73</v>
      </c>
      <c r="N55" s="15" t="s">
        <v>75</v>
      </c>
      <c r="O55" s="24">
        <f>F65</f>
        <v>3961.6829451540252</v>
      </c>
      <c r="P55" s="24"/>
    </row>
    <row r="56" spans="1:16" ht="15" x14ac:dyDescent="0.25">
      <c r="A56" s="34" t="s">
        <v>117</v>
      </c>
      <c r="B56" s="6">
        <f>B55</f>
        <v>9947.4079639368865</v>
      </c>
      <c r="C56" s="19"/>
      <c r="F56" s="36" t="s">
        <v>117</v>
      </c>
      <c r="G56" s="6">
        <f>G55</f>
        <v>10000</v>
      </c>
      <c r="H56" s="19"/>
      <c r="K56" s="15" t="s">
        <v>121</v>
      </c>
      <c r="L56" s="25" t="s">
        <v>95</v>
      </c>
      <c r="M56" s="15" t="s">
        <v>74</v>
      </c>
      <c r="N56" s="15" t="s">
        <v>20</v>
      </c>
      <c r="O56" s="24"/>
      <c r="P56" s="24">
        <f>O55</f>
        <v>3961.6829451540252</v>
      </c>
    </row>
    <row r="57" spans="1:16" x14ac:dyDescent="0.2">
      <c r="A57" s="27" t="s">
        <v>100</v>
      </c>
      <c r="B57" s="40">
        <f>O53</f>
        <v>9947.4079639368865</v>
      </c>
      <c r="F57" s="23" t="s">
        <v>96</v>
      </c>
      <c r="G57" s="41">
        <f>O47</f>
        <v>10000</v>
      </c>
    </row>
    <row r="58" spans="1:16" ht="15" x14ac:dyDescent="0.25">
      <c r="A58" s="34" t="s">
        <v>120</v>
      </c>
      <c r="B58" s="43">
        <f>B57</f>
        <v>9947.4079639368865</v>
      </c>
      <c r="F58" s="36" t="s">
        <v>120</v>
      </c>
      <c r="G58" s="6">
        <f>G57</f>
        <v>10000</v>
      </c>
    </row>
    <row r="59" spans="1:16" ht="15" thickBot="1" x14ac:dyDescent="0.25"/>
    <row r="60" spans="1:16" ht="15" thickBot="1" x14ac:dyDescent="0.25">
      <c r="A60" s="30" t="s">
        <v>116</v>
      </c>
      <c r="B60" s="31"/>
      <c r="F60" s="105" t="s">
        <v>122</v>
      </c>
      <c r="G60" s="106"/>
    </row>
    <row r="61" spans="1:16" x14ac:dyDescent="0.2">
      <c r="A61" s="39">
        <f>I46</f>
        <v>25000</v>
      </c>
      <c r="B61" s="33">
        <f>G53</f>
        <v>10000</v>
      </c>
      <c r="C61" s="11" t="s">
        <v>71</v>
      </c>
      <c r="F61" s="39">
        <f>I50</f>
        <v>25000</v>
      </c>
      <c r="G61" s="33">
        <f>G58</f>
        <v>10000</v>
      </c>
      <c r="H61" s="11" t="s">
        <v>101</v>
      </c>
    </row>
    <row r="62" spans="1:16" x14ac:dyDescent="0.2">
      <c r="A62" s="38"/>
      <c r="B62" s="33">
        <f>B46</f>
        <v>2984.2223891810663</v>
      </c>
      <c r="C62" s="11" t="s">
        <v>71</v>
      </c>
      <c r="F62" s="38"/>
      <c r="G62" s="33">
        <f>B58</f>
        <v>9947.4079639368865</v>
      </c>
      <c r="H62" s="11" t="s">
        <v>101</v>
      </c>
    </row>
    <row r="63" spans="1:16" x14ac:dyDescent="0.2">
      <c r="A63" s="38"/>
      <c r="B63" s="33">
        <f>B54</f>
        <v>9947.4079639368865</v>
      </c>
      <c r="C63" s="11" t="s">
        <v>71</v>
      </c>
      <c r="F63" s="38"/>
      <c r="G63" s="33">
        <f>B50</f>
        <v>1090.9090909090899</v>
      </c>
      <c r="H63" s="11" t="s">
        <v>101</v>
      </c>
    </row>
    <row r="64" spans="1:16" ht="15" x14ac:dyDescent="0.25">
      <c r="A64" s="32">
        <f>SUM(A61:A63)</f>
        <v>25000</v>
      </c>
      <c r="B64" s="37">
        <f>SUM(B61:B63)</f>
        <v>22931.630353117951</v>
      </c>
      <c r="F64" s="32">
        <f>SUM(F61:F63)</f>
        <v>25000</v>
      </c>
      <c r="G64" s="37">
        <f>SUM(G61:G63)</f>
        <v>21038.317054845975</v>
      </c>
    </row>
    <row r="65" spans="1:9" x14ac:dyDescent="0.2">
      <c r="A65" s="4">
        <f>A64-B64</f>
        <v>2068.369646882049</v>
      </c>
      <c r="B65" s="4"/>
      <c r="F65" s="4">
        <f>F64-G64</f>
        <v>3961.6829451540252</v>
      </c>
      <c r="G65" s="4"/>
    </row>
    <row r="66" spans="1:9" ht="15" thickBot="1" x14ac:dyDescent="0.25"/>
    <row r="67" spans="1:9" ht="15" thickBot="1" x14ac:dyDescent="0.25">
      <c r="A67" s="30" t="s">
        <v>119</v>
      </c>
      <c r="B67" s="31"/>
      <c r="F67" s="101" t="s">
        <v>20</v>
      </c>
      <c r="G67" s="102"/>
    </row>
    <row r="68" spans="1:9" ht="15" x14ac:dyDescent="0.25">
      <c r="A68" s="39">
        <f>I48</f>
        <v>25000</v>
      </c>
      <c r="B68" s="33">
        <f>G56</f>
        <v>10000</v>
      </c>
      <c r="C68" s="11" t="s">
        <v>90</v>
      </c>
      <c r="F68" s="4"/>
      <c r="G68" s="34" t="s">
        <v>114</v>
      </c>
      <c r="H68" s="46">
        <f>A65</f>
        <v>2068.369646882049</v>
      </c>
      <c r="I68" s="20" t="s">
        <v>71</v>
      </c>
    </row>
    <row r="69" spans="1:9" ht="15" x14ac:dyDescent="0.25">
      <c r="A69" s="38"/>
      <c r="B69" s="33">
        <f>B56</f>
        <v>9947.4079639368865</v>
      </c>
      <c r="C69" s="11" t="s">
        <v>90</v>
      </c>
      <c r="F69" s="17"/>
      <c r="G69" s="34" t="s">
        <v>117</v>
      </c>
      <c r="H69" s="46">
        <f>H68+A72</f>
        <v>5038.3170548459893</v>
      </c>
      <c r="I69" s="20" t="s">
        <v>90</v>
      </c>
    </row>
    <row r="70" spans="1:9" ht="15" x14ac:dyDescent="0.25">
      <c r="A70" s="38"/>
      <c r="B70" s="33">
        <f>B48</f>
        <v>2082.6446280991727</v>
      </c>
      <c r="C70" s="11" t="s">
        <v>90</v>
      </c>
      <c r="F70" s="17"/>
      <c r="G70" s="34" t="s">
        <v>120</v>
      </c>
      <c r="H70" s="46">
        <f>H69+F65</f>
        <v>9000.0000000000146</v>
      </c>
      <c r="I70" s="20" t="s">
        <v>101</v>
      </c>
    </row>
    <row r="71" spans="1:9" ht="15" x14ac:dyDescent="0.25">
      <c r="A71" s="32">
        <f>SUM(A68:A70)</f>
        <v>25000</v>
      </c>
      <c r="B71" s="37">
        <f>SUM(B68:B70)</f>
        <v>22030.05259203606</v>
      </c>
      <c r="F71" s="17"/>
      <c r="G71" s="19"/>
    </row>
    <row r="72" spans="1:9" ht="15" thickBot="1" x14ac:dyDescent="0.25">
      <c r="A72" s="4">
        <f>A71-B71</f>
        <v>2969.9474079639403</v>
      </c>
      <c r="B72" s="4"/>
    </row>
    <row r="73" spans="1:9" ht="15" thickBot="1" x14ac:dyDescent="0.25">
      <c r="F73" s="101" t="s">
        <v>23</v>
      </c>
      <c r="G73" s="102"/>
    </row>
    <row r="74" spans="1:9" x14ac:dyDescent="0.2">
      <c r="F74" s="4"/>
      <c r="G74" s="21">
        <f>P5</f>
        <v>70000</v>
      </c>
      <c r="H74" s="22" t="s">
        <v>39</v>
      </c>
    </row>
    <row r="75" spans="1:9" ht="15" x14ac:dyDescent="0.25">
      <c r="F75" s="17"/>
      <c r="G75" s="34" t="s">
        <v>113</v>
      </c>
      <c r="H75" s="6">
        <f>G74</f>
        <v>70000</v>
      </c>
    </row>
    <row r="76" spans="1:9" ht="15" x14ac:dyDescent="0.25">
      <c r="F76" s="17"/>
      <c r="G76" s="34" t="s">
        <v>114</v>
      </c>
      <c r="H76" s="6">
        <f>H75</f>
        <v>70000</v>
      </c>
    </row>
    <row r="77" spans="1:9" ht="15" x14ac:dyDescent="0.25">
      <c r="F77" s="17"/>
      <c r="G77" s="34" t="s">
        <v>117</v>
      </c>
      <c r="H77" s="6">
        <f>H76</f>
        <v>70000</v>
      </c>
    </row>
    <row r="78" spans="1:9" ht="15" x14ac:dyDescent="0.25">
      <c r="F78" s="17"/>
      <c r="G78" s="34" t="s">
        <v>120</v>
      </c>
      <c r="H78" s="6">
        <f>H77</f>
        <v>70000</v>
      </c>
    </row>
  </sheetData>
  <mergeCells count="14">
    <mergeCell ref="G16:H16"/>
    <mergeCell ref="B16:C16"/>
    <mergeCell ref="B6:C6"/>
    <mergeCell ref="G6:H6"/>
    <mergeCell ref="F73:G73"/>
    <mergeCell ref="G24:H24"/>
    <mergeCell ref="G34:H34"/>
    <mergeCell ref="F67:G67"/>
    <mergeCell ref="F60:G60"/>
    <mergeCell ref="B24:C24"/>
    <mergeCell ref="B44:C44"/>
    <mergeCell ref="B52:C52"/>
    <mergeCell ref="G44:H44"/>
    <mergeCell ref="G52:H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Apresentacao</vt:lpstr>
      <vt:lpstr>DadosIFRS16_IBEF</vt:lpstr>
      <vt:lpstr>Razonetes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Batista</dc:creator>
  <cp:lastModifiedBy>RAFAHAUSS</cp:lastModifiedBy>
  <dcterms:created xsi:type="dcterms:W3CDTF">2015-11-18T11:08:58Z</dcterms:created>
  <dcterms:modified xsi:type="dcterms:W3CDTF">2018-11-29T13:13:06Z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DCxCLASSFICATION_LEVEL">
    <vt:lpwstr>1</vt:lpwstr>
  </property>
  <property fmtid="{D5CDD505-2E9C-101B-9397-08002B2CF9AE}" pid="3" name="SSDCxCLASSFICATION_USER">
    <vt:lpwstr>SOACAT\303543</vt:lpwstr>
  </property>
  <property fmtid="{D5CDD505-2E9C-101B-9397-08002B2CF9AE}" pid="4" name="SSDCxCLASSFICATION_DATE">
    <vt:lpwstr>19/11/2018 23:22:14</vt:lpwstr>
  </property>
  <property fmtid="{D5CDD505-2E9C-101B-9397-08002B2CF9AE}" pid="5" name="SSDCxCLASSFICATION_GUID">
    <vt:lpwstr>6F045A3F5C94D35A456501958AA304F5</vt:lpwstr>
  </property>
  <property fmtid="{D5CDD505-2E9C-101B-9397-08002B2CF9AE}" pid="6" name="SSDCxCLASSFICATION_LANG">
    <vt:lpwstr>pt</vt:lpwstr>
  </property>
</Properties>
</file>